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40" windowWidth="11352" windowHeight="7380" tabRatio="750" activeTab="1"/>
  </bookViews>
  <sheets>
    <sheet name="ใบรับรองแบบรูปและรายการ" sheetId="17" r:id="rId1"/>
    <sheet name="ปร.6" sheetId="5" r:id="rId2"/>
    <sheet name="ปร.5 (ก)" sheetId="3" r:id="rId3"/>
    <sheet name="ปร.5 (ข)" sheetId="24" r:id="rId4"/>
    <sheet name="ปร.4" sheetId="1" r:id="rId5"/>
    <sheet name="งวดงาน 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con1">#REF!</definedName>
    <definedName name="_________con11">#REF!</definedName>
    <definedName name="_________con2">#REF!</definedName>
    <definedName name="_________con3">#REF!</definedName>
    <definedName name="_________con4">#REF!</definedName>
    <definedName name="_________fws1">'[1]11 ข้อมูลงานCon'!$AB$30</definedName>
    <definedName name="_________sb1">'[1]12 ข้อมูลงานไม้แบบ'!$W$29</definedName>
    <definedName name="_________sd30">#REF!</definedName>
    <definedName name="_________sd40">#REF!</definedName>
    <definedName name="_________st1">#REF!</definedName>
    <definedName name="_________st2">#REF!</definedName>
    <definedName name="_________st3">#REF!</definedName>
    <definedName name="________con1">#REF!</definedName>
    <definedName name="________con11">#REF!</definedName>
    <definedName name="________con2">#REF!</definedName>
    <definedName name="________con3">#REF!</definedName>
    <definedName name="________con4">#REF!</definedName>
    <definedName name="________fws1">#REF!</definedName>
    <definedName name="________sb1">#REF!</definedName>
    <definedName name="________sd30">#REF!</definedName>
    <definedName name="________sd40">#REF!</definedName>
    <definedName name="________st1">#REF!</definedName>
    <definedName name="________st2">#REF!</definedName>
    <definedName name="________st3">#REF!</definedName>
    <definedName name="_______con1">#REF!</definedName>
    <definedName name="_______con11">#REF!</definedName>
    <definedName name="_______con2">#REF!</definedName>
    <definedName name="_______con3">#REF!</definedName>
    <definedName name="_______con4">#REF!</definedName>
    <definedName name="_______fws1">#REF!</definedName>
    <definedName name="_______sb1">#REF!</definedName>
    <definedName name="_______sd30">#REF!</definedName>
    <definedName name="_______sd40">#REF!</definedName>
    <definedName name="_______st1">#REF!</definedName>
    <definedName name="_______st2">#REF!</definedName>
    <definedName name="_______st3">#REF!</definedName>
    <definedName name="______con1">#REF!</definedName>
    <definedName name="______con11">#REF!</definedName>
    <definedName name="______con2">#REF!</definedName>
    <definedName name="______con3">#REF!</definedName>
    <definedName name="______con4">#REF!</definedName>
    <definedName name="______fws1">#REF!</definedName>
    <definedName name="______sb1">#REF!</definedName>
    <definedName name="______sd30">#REF!</definedName>
    <definedName name="______sd40">#REF!</definedName>
    <definedName name="______st1">#REF!</definedName>
    <definedName name="______st2">#REF!</definedName>
    <definedName name="______st3">#REF!</definedName>
    <definedName name="_____con1">#REF!</definedName>
    <definedName name="_____con11">#REF!</definedName>
    <definedName name="_____con2">#REF!</definedName>
    <definedName name="_____con3">#REF!</definedName>
    <definedName name="_____con4">#REF!</definedName>
    <definedName name="_____fws1">#REF!</definedName>
    <definedName name="_____rb1">#REF!</definedName>
    <definedName name="_____sb1">#REF!</definedName>
    <definedName name="_____sd30">#REF!</definedName>
    <definedName name="_____sd40">#REF!</definedName>
    <definedName name="_____st1">#REF!</definedName>
    <definedName name="_____st2">#REF!</definedName>
    <definedName name="_____st3">#REF!</definedName>
    <definedName name="_____wb1">#REF!</definedName>
    <definedName name="____con1" localSheetId="5">#REF!</definedName>
    <definedName name="____con1">#REF!</definedName>
    <definedName name="____con11" localSheetId="5">#REF!</definedName>
    <definedName name="____con11">#REF!</definedName>
    <definedName name="____con2" localSheetId="5">#REF!</definedName>
    <definedName name="____con2">#REF!</definedName>
    <definedName name="____con3">#REF!</definedName>
    <definedName name="____con4">#REF!</definedName>
    <definedName name="____fws1">#REF!</definedName>
    <definedName name="____rb1">#REF!</definedName>
    <definedName name="____sb1">#REF!</definedName>
    <definedName name="____sd30" localSheetId="5">#REF!</definedName>
    <definedName name="____sd30">#REF!</definedName>
    <definedName name="____sd40" localSheetId="5">#REF!</definedName>
    <definedName name="____sd40">#REF!</definedName>
    <definedName name="____st1" localSheetId="5">#REF!</definedName>
    <definedName name="____st1">#REF!</definedName>
    <definedName name="____st2">#REF!</definedName>
    <definedName name="____st3">#REF!</definedName>
    <definedName name="____wb1">#REF!</definedName>
    <definedName name="___con1" localSheetId="5">#REF!</definedName>
    <definedName name="___con1">#REF!</definedName>
    <definedName name="___con11" localSheetId="5">#REF!</definedName>
    <definedName name="___con11">#REF!</definedName>
    <definedName name="___con2" localSheetId="5">#REF!</definedName>
    <definedName name="___con2">#REF!</definedName>
    <definedName name="___con3" localSheetId="5">#REF!</definedName>
    <definedName name="___con3">#REF!</definedName>
    <definedName name="___con4" localSheetId="5">#REF!</definedName>
    <definedName name="___con4">#REF!</definedName>
    <definedName name="___fws1" localSheetId="5">'[2]11 ข้อมูลงานCon'!$AB$30</definedName>
    <definedName name="___fws1">'[3]11 ข้อมูลงานCon'!$AB$30</definedName>
    <definedName name="___rb1">#REF!</definedName>
    <definedName name="___sb1" localSheetId="5">'[2]12 ข้อมูลงานไม้แบบ'!$W$29</definedName>
    <definedName name="___sb1">'[3]12 ข้อมูลงานไม้แบบ'!$W$29</definedName>
    <definedName name="___sd30" localSheetId="5">#REF!</definedName>
    <definedName name="___sd30">#REF!</definedName>
    <definedName name="___sd40" localSheetId="5">#REF!</definedName>
    <definedName name="___sd40">#REF!</definedName>
    <definedName name="___st1" localSheetId="5">#REF!</definedName>
    <definedName name="___st1">#REF!</definedName>
    <definedName name="___st2" localSheetId="5">#REF!</definedName>
    <definedName name="___st2">#REF!</definedName>
    <definedName name="___st3" localSheetId="5">#REF!</definedName>
    <definedName name="___st3">#REF!</definedName>
    <definedName name="___wb1">#REF!</definedName>
    <definedName name="__con1">#REF!</definedName>
    <definedName name="__con11">#REF!</definedName>
    <definedName name="__con2">#REF!</definedName>
    <definedName name="__con3">#REF!</definedName>
    <definedName name="__con4">#REF!</definedName>
    <definedName name="__fws1">'[3]11 ข้อมูลงานCon'!$AB$30</definedName>
    <definedName name="__rb1">#REF!</definedName>
    <definedName name="__sb1">'[3]12 ข้อมูลงานไม้แบบ'!$W$29</definedName>
    <definedName name="__sd30" localSheetId="5">#REF!</definedName>
    <definedName name="__sd30">#REF!</definedName>
    <definedName name="__sd40" localSheetId="5">#REF!</definedName>
    <definedName name="__sd40">#REF!</definedName>
    <definedName name="__st1" localSheetId="5">#REF!</definedName>
    <definedName name="__st1">#REF!</definedName>
    <definedName name="__st2">#REF!</definedName>
    <definedName name="__st3">#REF!</definedName>
    <definedName name="__wb1">#REF!</definedName>
    <definedName name="_con1" localSheetId="3">#REF!</definedName>
    <definedName name="_con1">#REF!</definedName>
    <definedName name="_con11" localSheetId="3">#REF!</definedName>
    <definedName name="_con11">#REF!</definedName>
    <definedName name="_con2" localSheetId="3">#REF!</definedName>
    <definedName name="_con2">#REF!</definedName>
    <definedName name="_con3" localSheetId="3">#REF!</definedName>
    <definedName name="_con3">#REF!</definedName>
    <definedName name="_con4" localSheetId="3">#REF!</definedName>
    <definedName name="_con4">#REF!</definedName>
    <definedName name="_fws1">'[3]11 ข้อมูลงานCon'!$AB$30</definedName>
    <definedName name="_rb1">#REF!</definedName>
    <definedName name="_sb1">'[3]12 ข้อมูลงานไม้แบบ'!$W$29</definedName>
    <definedName name="_sd30" localSheetId="5">#REF!</definedName>
    <definedName name="_sd30" localSheetId="3">#REF!</definedName>
    <definedName name="_sd30">#REF!</definedName>
    <definedName name="_sd40" localSheetId="3">#REF!</definedName>
    <definedName name="_sd40">#REF!</definedName>
    <definedName name="_st1" localSheetId="3">#REF!</definedName>
    <definedName name="_st1">#REF!</definedName>
    <definedName name="_st2" localSheetId="3">#REF!</definedName>
    <definedName name="_st2">#REF!</definedName>
    <definedName name="_st3" localSheetId="3">#REF!</definedName>
    <definedName name="_st3">#REF!</definedName>
    <definedName name="_wb1">#REF!</definedName>
    <definedName name="a" localSheetId="5">'[4]25-27RC. PIPE(3หน้า)'!#REF!</definedName>
    <definedName name="a" localSheetId="3">'[4]25-27RC. PIPE(3หน้า)'!#REF!</definedName>
    <definedName name="a">'[4]25-27RC. PIPE(3หน้า)'!#REF!</definedName>
    <definedName name="aa" localSheetId="5">'[6]12 ข้อมูลงานไม้แบบ'!$W$29</definedName>
    <definedName name="aa">'[5]12 ข้อมูลงานไม้แบบ'!$W$29</definedName>
    <definedName name="aaaa" localSheetId="5">#REF!</definedName>
    <definedName name="aaaa" localSheetId="3">#REF!</definedName>
    <definedName name="aaaa">#REF!</definedName>
    <definedName name="aaaaa" localSheetId="5">#REF!</definedName>
    <definedName name="aaaaa" localSheetId="3">#REF!</definedName>
    <definedName name="aaaaa">#REF!</definedName>
    <definedName name="AB" localSheetId="5">'[7]12 ข้อมูลงานไม้แบบ'!$W$29</definedName>
    <definedName name="AB">'[8]12 ข้อมูลงานไม้แบบ'!$W$29</definedName>
    <definedName name="AC" localSheetId="5">#REF!</definedName>
    <definedName name="AC" localSheetId="3">#REF!</definedName>
    <definedName name="AC">#REF!</definedName>
    <definedName name="bb" localSheetId="5">'[6]10 ข้อมูลวัสดุ-ค่าดำเนิน'!$X$19</definedName>
    <definedName name="bb">'[5]10 ข้อมูลวัสดุ-ค่าดำเนิน'!$X$19</definedName>
    <definedName name="ce" localSheetId="5">#REF!</definedName>
    <definedName name="ce" localSheetId="3">#REF!</definedName>
    <definedName name="ce">#REF!</definedName>
    <definedName name="con" localSheetId="5">#REF!</definedName>
    <definedName name="con" localSheetId="3">#REF!</definedName>
    <definedName name="con">#REF!</definedName>
    <definedName name="D" localSheetId="5">#REF!</definedName>
    <definedName name="D" localSheetId="3">#REF!</definedName>
    <definedName name="D">#REF!</definedName>
    <definedName name="F" localSheetId="5">#REF!</definedName>
    <definedName name="F" localSheetId="3">#REF!</definedName>
    <definedName name="F">#REF!</definedName>
    <definedName name="f_bridge" localSheetId="5">'[9]F(ของเรา)'!$G$27</definedName>
    <definedName name="f_bridge">'[10]F(ของเรา)'!$G$27</definedName>
    <definedName name="F_road" localSheetId="5">'[9]F(ของเรา)'!$G$26</definedName>
    <definedName name="F_road">'[10]F(ของเรา)'!$G$26</definedName>
    <definedName name="ff">'[11]F(ของเรา)'!$G$27</definedName>
    <definedName name="fff" localSheetId="5">'[12]11 ข้อมูลงานCon'!$AB$30</definedName>
    <definedName name="fff">'[13]11 ข้อมูลงานCon'!$AB$30</definedName>
    <definedName name="FWS" localSheetId="5">'[14]11 ข้อมูลงานCon'!$AB$30</definedName>
    <definedName name="FWS">'[15]11 ข้อมูลงานCon'!$AB$30</definedName>
    <definedName name="FWSS" localSheetId="5">'[14]11 ข้อมูลงานCon'!$AB$30</definedName>
    <definedName name="FWSS">'[15]11 ข้อมูลงานCon'!$AB$30</definedName>
    <definedName name="fกรรมการ" localSheetId="5">#REF!</definedName>
    <definedName name="fกรรมการ" localSheetId="3">#REF!</definedName>
    <definedName name="fกรรมการ">#REF!</definedName>
    <definedName name="ITEM1.1" localSheetId="5">#REF!</definedName>
    <definedName name="ITEM1.1" localSheetId="3">#REF!</definedName>
    <definedName name="ITEM1.1">#REF!</definedName>
    <definedName name="ITEM1.2" localSheetId="5">#REF!</definedName>
    <definedName name="ITEM1.2" localSheetId="3">#REF!</definedName>
    <definedName name="ITEM1.2">#REF!</definedName>
    <definedName name="ITEM1.3.1" localSheetId="5">#REF!</definedName>
    <definedName name="ITEM1.3.1" localSheetId="3">#REF!</definedName>
    <definedName name="ITEM1.3.1">#REF!</definedName>
    <definedName name="ITEM1.3.2" localSheetId="5">#REF!</definedName>
    <definedName name="ITEM1.3.2" localSheetId="3">#REF!</definedName>
    <definedName name="ITEM1.3.2">#REF!</definedName>
    <definedName name="ITEM1.3.3" localSheetId="5">#REF!</definedName>
    <definedName name="ITEM1.3.3" localSheetId="3">#REF!</definedName>
    <definedName name="ITEM1.3.3">#REF!</definedName>
    <definedName name="ITEM1.3.4" localSheetId="5">#REF!</definedName>
    <definedName name="ITEM1.3.4" localSheetId="3">#REF!</definedName>
    <definedName name="ITEM1.3.4">#REF!</definedName>
    <definedName name="ITEM1.3.5" localSheetId="5">#REF!</definedName>
    <definedName name="ITEM1.3.5" localSheetId="3">#REF!</definedName>
    <definedName name="ITEM1.3.5">#REF!</definedName>
    <definedName name="ITEM1.3.6" localSheetId="5">#REF!</definedName>
    <definedName name="ITEM1.3.6" localSheetId="3">#REF!</definedName>
    <definedName name="ITEM1.3.6">#REF!</definedName>
    <definedName name="ITEM1.3.7" localSheetId="5">#REF!</definedName>
    <definedName name="ITEM1.3.7" localSheetId="3">#REF!</definedName>
    <definedName name="ITEM1.3.7">#REF!</definedName>
    <definedName name="ITEM1.3.8" localSheetId="5">#REF!</definedName>
    <definedName name="ITEM1.3.8" localSheetId="3">#REF!</definedName>
    <definedName name="ITEM1.3.8">#REF!</definedName>
    <definedName name="ITEM1.4.1" localSheetId="5">#REF!</definedName>
    <definedName name="ITEM1.4.1" localSheetId="3">#REF!</definedName>
    <definedName name="ITEM1.4.1">#REF!</definedName>
    <definedName name="ITEM1.5" localSheetId="5">#REF!</definedName>
    <definedName name="ITEM1.5" localSheetId="3">#REF!</definedName>
    <definedName name="ITEM1.5">#REF!</definedName>
    <definedName name="ITEM2.1" localSheetId="5">#REF!</definedName>
    <definedName name="ITEM2.1" localSheetId="3">#REF!</definedName>
    <definedName name="ITEM2.1">#REF!</definedName>
    <definedName name="ITEM2.2.1" localSheetId="5">#REF!</definedName>
    <definedName name="ITEM2.2.1" localSheetId="3">#REF!</definedName>
    <definedName name="ITEM2.2.1">#REF!</definedName>
    <definedName name="ITEM2.2.2" localSheetId="5">#REF!</definedName>
    <definedName name="ITEM2.2.2" localSheetId="3">#REF!</definedName>
    <definedName name="ITEM2.2.2">#REF!</definedName>
    <definedName name="ITEM2.2.3" localSheetId="5">#REF!</definedName>
    <definedName name="ITEM2.2.3" localSheetId="3">#REF!</definedName>
    <definedName name="ITEM2.2.3">#REF!</definedName>
    <definedName name="ITEM2.2.3.4" localSheetId="5">'[16]41.EXCAVATION'!#REF!</definedName>
    <definedName name="ITEM2.2.3.4" localSheetId="3">'[16]41.EXCAVATION'!#REF!</definedName>
    <definedName name="ITEM2.2.3.4">'[16]41.EXCAVATION'!#REF!</definedName>
    <definedName name="ITEM2.2.4" localSheetId="5">#REF!</definedName>
    <definedName name="ITEM2.2.4" localSheetId="3">#REF!</definedName>
    <definedName name="ITEM2.2.4">#REF!</definedName>
    <definedName name="ITEM2.2.5" localSheetId="5">#REF!</definedName>
    <definedName name="ITEM2.2.5" localSheetId="3">#REF!</definedName>
    <definedName name="ITEM2.2.5">#REF!</definedName>
    <definedName name="ITEM2.3.1" localSheetId="5">'[4]8Unsui+Soft'!#REF!</definedName>
    <definedName name="ITEM2.3.1" localSheetId="3">'[4]8Unsui+Soft'!#REF!</definedName>
    <definedName name="ITEM2.3.1">'[4]8Unsui+Soft'!#REF!</definedName>
    <definedName name="ITEM2.3.2" localSheetId="5">#REF!</definedName>
    <definedName name="ITEM2.3.2" localSheetId="3">#REF!</definedName>
    <definedName name="ITEM2.3.2">#REF!</definedName>
    <definedName name="ITEM2.3.4" localSheetId="5">#REF!</definedName>
    <definedName name="ITEM2.3.4" localSheetId="3">#REF!</definedName>
    <definedName name="ITEM2.3.4">#REF!</definedName>
    <definedName name="ITEM2.3.5" localSheetId="5">#REF!</definedName>
    <definedName name="ITEM2.3.5" localSheetId="3">#REF!</definedName>
    <definedName name="ITEM2.3.5">#REF!</definedName>
    <definedName name="ITEM2.3.6" localSheetId="5">#REF!</definedName>
    <definedName name="ITEM2.3.6" localSheetId="3">#REF!</definedName>
    <definedName name="ITEM2.3.6">#REF!</definedName>
    <definedName name="ITEM2.4.1" localSheetId="5">#REF!</definedName>
    <definedName name="ITEM2.4.1" localSheetId="3">#REF!</definedName>
    <definedName name="ITEM2.4.1">#REF!</definedName>
    <definedName name="ITEM2.4.2" localSheetId="5">#REF!</definedName>
    <definedName name="ITEM2.4.2" localSheetId="3">#REF!</definedName>
    <definedName name="ITEM2.4.2">#REF!</definedName>
    <definedName name="ITEM3.1.1" localSheetId="5">#REF!</definedName>
    <definedName name="ITEM3.1.1" localSheetId="3">#REF!</definedName>
    <definedName name="ITEM3.1.1">#REF!</definedName>
    <definedName name="ITEM3.2.1" localSheetId="5">#REF!</definedName>
    <definedName name="ITEM3.2.1" localSheetId="3">#REF!</definedName>
    <definedName name="ITEM3.2.1">#REF!</definedName>
    <definedName name="ITEM3.2.2" localSheetId="5">#REF!</definedName>
    <definedName name="ITEM3.2.2" localSheetId="3">#REF!</definedName>
    <definedName name="ITEM3.2.2">#REF!</definedName>
    <definedName name="ITEM3.2.3" localSheetId="5">#REF!</definedName>
    <definedName name="ITEM3.2.3" localSheetId="3">#REF!</definedName>
    <definedName name="ITEM3.2.3">#REF!</definedName>
    <definedName name="ITEM3.2.4" localSheetId="5">#REF!</definedName>
    <definedName name="ITEM3.2.4" localSheetId="3">#REF!</definedName>
    <definedName name="ITEM3.2.4">#REF!</definedName>
    <definedName name="ITEM3.3.1" localSheetId="5">#REF!</definedName>
    <definedName name="ITEM3.3.1" localSheetId="3">#REF!</definedName>
    <definedName name="ITEM3.3.1">#REF!</definedName>
    <definedName name="ITEM3.4.1" localSheetId="5">#REF!</definedName>
    <definedName name="ITEM3.4.1" localSheetId="3">#REF!</definedName>
    <definedName name="ITEM3.4.1">#REF!</definedName>
    <definedName name="ITEM3.4.2" localSheetId="5">#REF!</definedName>
    <definedName name="ITEM3.4.2" localSheetId="3">#REF!</definedName>
    <definedName name="ITEM3.4.2">#REF!</definedName>
    <definedName name="ITEM3.5" localSheetId="5">#REF!</definedName>
    <definedName name="ITEM3.5" localSheetId="3">#REF!</definedName>
    <definedName name="ITEM3.5">#REF!</definedName>
    <definedName name="ITEM3.6" localSheetId="5">#REF!</definedName>
    <definedName name="ITEM3.6" localSheetId="3">#REF!</definedName>
    <definedName name="ITEM3.6">#REF!</definedName>
    <definedName name="ITEM4.1.1" localSheetId="5">#REF!</definedName>
    <definedName name="ITEM4.1.1" localSheetId="3">#REF!</definedName>
    <definedName name="ITEM4.1.1">#REF!</definedName>
    <definedName name="ITEM4.1.2" localSheetId="5">#REF!</definedName>
    <definedName name="ITEM4.1.2" localSheetId="3">#REF!</definedName>
    <definedName name="ITEM4.1.2">#REF!</definedName>
    <definedName name="ITEM4.2.1" localSheetId="5">#REF!</definedName>
    <definedName name="ITEM4.2.1" localSheetId="3">#REF!</definedName>
    <definedName name="ITEM4.2.1">#REF!</definedName>
    <definedName name="ITEM4.2.2" localSheetId="5">#REF!</definedName>
    <definedName name="ITEM4.2.2" localSheetId="3">#REF!</definedName>
    <definedName name="ITEM4.2.2">#REF!</definedName>
    <definedName name="ITEM4.4.3" localSheetId="5">#REF!</definedName>
    <definedName name="ITEM4.4.3" localSheetId="3">#REF!</definedName>
    <definedName name="ITEM4.4.3">#REF!</definedName>
    <definedName name="ITEM4.4.4" localSheetId="5">#REF!</definedName>
    <definedName name="ITEM4.4.4" localSheetId="3">#REF!</definedName>
    <definedName name="ITEM4.4.4">#REF!</definedName>
    <definedName name="ITEM4.4.5" localSheetId="5">#REF!</definedName>
    <definedName name="ITEM4.4.5" localSheetId="3">#REF!</definedName>
    <definedName name="ITEM4.4.5">#REF!</definedName>
    <definedName name="ITEM4.4.6" localSheetId="5">#REF!</definedName>
    <definedName name="ITEM4.4.6" localSheetId="3">#REF!</definedName>
    <definedName name="ITEM4.4.6">#REF!</definedName>
    <definedName name="ITEM4.5" localSheetId="5">#REF!</definedName>
    <definedName name="ITEM4.5" localSheetId="3">#REF!</definedName>
    <definedName name="ITEM4.5">#REF!</definedName>
    <definedName name="ITEM4.9.1" localSheetId="5">#REF!</definedName>
    <definedName name="ITEM4.9.1" localSheetId="3">#REF!</definedName>
    <definedName name="ITEM4.9.1">#REF!</definedName>
    <definedName name="ITEM4.9.2" localSheetId="5">#REF!</definedName>
    <definedName name="ITEM4.9.2" localSheetId="3">#REF!</definedName>
    <definedName name="ITEM4.9.2">#REF!</definedName>
    <definedName name="ITEM4.9.3" localSheetId="5">#REF!</definedName>
    <definedName name="ITEM4.9.3" localSheetId="3">#REF!</definedName>
    <definedName name="ITEM4.9.3">#REF!</definedName>
    <definedName name="ITEM4.9.4" localSheetId="5">#REF!</definedName>
    <definedName name="ITEM4.9.4" localSheetId="3">#REF!</definedName>
    <definedName name="ITEM4.9.4">#REF!</definedName>
    <definedName name="ITEM4.9.5" localSheetId="5">#REF!</definedName>
    <definedName name="ITEM4.9.5" localSheetId="3">#REF!</definedName>
    <definedName name="ITEM4.9.5">#REF!</definedName>
    <definedName name="ITEM4.9.6" localSheetId="5">#REF!</definedName>
    <definedName name="ITEM4.9.6" localSheetId="3">#REF!</definedName>
    <definedName name="ITEM4.9.6">#REF!</definedName>
    <definedName name="ITEM5.1.1.1" localSheetId="5">#REF!</definedName>
    <definedName name="ITEM5.1.1.1" localSheetId="3">#REF!</definedName>
    <definedName name="ITEM5.1.1.1">#REF!</definedName>
    <definedName name="ITEM5.1.1.2" localSheetId="5">#REF!</definedName>
    <definedName name="ITEM5.1.1.2" localSheetId="3">#REF!</definedName>
    <definedName name="ITEM5.1.1.2">#REF!</definedName>
    <definedName name="ITEM5.1.1.3" localSheetId="5">#REF!</definedName>
    <definedName name="ITEM5.1.1.3" localSheetId="3">#REF!</definedName>
    <definedName name="ITEM5.1.1.3">#REF!</definedName>
    <definedName name="ITEM5.1.1.4" localSheetId="5">#REF!</definedName>
    <definedName name="ITEM5.1.1.4" localSheetId="3">#REF!</definedName>
    <definedName name="ITEM5.1.1.4">#REF!</definedName>
    <definedName name="ITEM5.1.1.5" localSheetId="5">#REF!</definedName>
    <definedName name="ITEM5.1.1.5" localSheetId="3">#REF!</definedName>
    <definedName name="ITEM5.1.1.5">#REF!</definedName>
    <definedName name="ITEM5.1.1.6" localSheetId="5">#REF!</definedName>
    <definedName name="ITEM5.1.1.6" localSheetId="3">#REF!</definedName>
    <definedName name="ITEM5.1.1.6">#REF!</definedName>
    <definedName name="ITEM5.1.1.7" localSheetId="5">#REF!</definedName>
    <definedName name="ITEM5.1.1.7" localSheetId="3">#REF!</definedName>
    <definedName name="ITEM5.1.1.7">#REF!</definedName>
    <definedName name="ITEM5.1.1.8" localSheetId="5">#REF!</definedName>
    <definedName name="ITEM5.1.1.8" localSheetId="3">#REF!</definedName>
    <definedName name="ITEM5.1.1.8">#REF!</definedName>
    <definedName name="ITEM5.1.2.1" localSheetId="5">#REF!</definedName>
    <definedName name="ITEM5.1.2.1" localSheetId="3">#REF!</definedName>
    <definedName name="ITEM5.1.2.1">#REF!</definedName>
    <definedName name="ITEM5.1.2.2" localSheetId="5">#REF!</definedName>
    <definedName name="ITEM5.1.2.2" localSheetId="3">#REF!</definedName>
    <definedName name="ITEM5.1.2.2">#REF!</definedName>
    <definedName name="ITEM5.1.2.3" localSheetId="5">#REF!</definedName>
    <definedName name="ITEM5.1.2.3" localSheetId="3">#REF!</definedName>
    <definedName name="ITEM5.1.2.3">#REF!</definedName>
    <definedName name="ITEM5.1.2.4" localSheetId="5">#REF!</definedName>
    <definedName name="ITEM5.1.2.4" localSheetId="3">#REF!</definedName>
    <definedName name="ITEM5.1.2.4">#REF!</definedName>
    <definedName name="ITEM5.1.2.5" localSheetId="5">#REF!</definedName>
    <definedName name="ITEM5.1.2.5" localSheetId="3">#REF!</definedName>
    <definedName name="ITEM5.1.2.5">#REF!</definedName>
    <definedName name="ITEM5.1.2.6" localSheetId="5">#REF!</definedName>
    <definedName name="ITEM5.1.2.6" localSheetId="3">#REF!</definedName>
    <definedName name="ITEM5.1.2.6">#REF!</definedName>
    <definedName name="ITEM5.1.2.7" localSheetId="5">#REF!</definedName>
    <definedName name="ITEM5.1.2.7" localSheetId="3">#REF!</definedName>
    <definedName name="ITEM5.1.2.7">#REF!</definedName>
    <definedName name="ITEM5.1.2.8" localSheetId="5">#REF!</definedName>
    <definedName name="ITEM5.1.2.8" localSheetId="3">#REF!</definedName>
    <definedName name="ITEM5.1.2.8">#REF!</definedName>
    <definedName name="ITEM5.1.2.9" localSheetId="5">#REF!</definedName>
    <definedName name="ITEM5.1.2.9" localSheetId="3">#REF!</definedName>
    <definedName name="ITEM5.1.2.9">#REF!</definedName>
    <definedName name="ITEM5.1.4" localSheetId="5">#REF!</definedName>
    <definedName name="ITEM5.1.4" localSheetId="3">#REF!</definedName>
    <definedName name="ITEM5.1.4">#REF!</definedName>
    <definedName name="ITEM5.1.5" localSheetId="5">#REF!</definedName>
    <definedName name="ITEM5.1.5" localSheetId="3">#REF!</definedName>
    <definedName name="ITEM5.1.5">#REF!</definedName>
    <definedName name="ITEM5.1.6" localSheetId="5">#REF!</definedName>
    <definedName name="ITEM5.1.6" localSheetId="3">#REF!</definedName>
    <definedName name="ITEM5.1.6">#REF!</definedName>
    <definedName name="ITEM5.1.7" localSheetId="5">#REF!</definedName>
    <definedName name="ITEM5.1.7" localSheetId="3">#REF!</definedName>
    <definedName name="ITEM5.1.7">#REF!</definedName>
    <definedName name="ITEM5.1.7.1" localSheetId="5">#REF!</definedName>
    <definedName name="ITEM5.1.7.1" localSheetId="3">#REF!</definedName>
    <definedName name="ITEM5.1.7.1">#REF!</definedName>
    <definedName name="ITEM5.2.2.1" localSheetId="5">#REF!</definedName>
    <definedName name="ITEM5.2.2.1" localSheetId="3">#REF!</definedName>
    <definedName name="ITEM5.2.2.1">#REF!</definedName>
    <definedName name="ITEM5.2.2.2" localSheetId="5">#REF!</definedName>
    <definedName name="ITEM5.2.2.2" localSheetId="3">#REF!</definedName>
    <definedName name="ITEM5.2.2.2">#REF!</definedName>
    <definedName name="ITEM5.2.2.3" localSheetId="5">#REF!</definedName>
    <definedName name="ITEM5.2.2.3" localSheetId="3">#REF!</definedName>
    <definedName name="ITEM5.2.2.3">#REF!</definedName>
    <definedName name="ITEM5.2.2.4" localSheetId="5">#REF!</definedName>
    <definedName name="ITEM5.2.2.4" localSheetId="3">#REF!</definedName>
    <definedName name="ITEM5.2.2.4">#REF!</definedName>
    <definedName name="ITEM5.2.2.5" localSheetId="5">#REF!</definedName>
    <definedName name="ITEM5.2.2.5" localSheetId="3">#REF!</definedName>
    <definedName name="ITEM5.2.2.5">#REF!</definedName>
    <definedName name="ITEM5.2.2.6" localSheetId="5">#REF!</definedName>
    <definedName name="ITEM5.2.2.6" localSheetId="3">#REF!</definedName>
    <definedName name="ITEM5.2.2.6">#REF!</definedName>
    <definedName name="ITEM5.3.1" localSheetId="5">'[4]25-27RC. PIPE(3หน้า)'!#REF!</definedName>
    <definedName name="ITEM5.3.1" localSheetId="3">'[4]25-27RC. PIPE(3หน้า)'!#REF!</definedName>
    <definedName name="ITEM5.3.1">'[4]25-27RC. PIPE(3หน้า)'!#REF!</definedName>
    <definedName name="ITEM5.3.2" localSheetId="5">'[4]25-27RC. PIPE(3หน้า)'!#REF!</definedName>
    <definedName name="ITEM5.3.2" localSheetId="3">'[4]25-27RC. PIPE(3หน้า)'!#REF!</definedName>
    <definedName name="ITEM5.3.2">'[4]25-27RC. PIPE(3หน้า)'!#REF!</definedName>
    <definedName name="ITEM5.3.3" localSheetId="5">'[4]25-27RC. PIPE(3หน้า)'!#REF!</definedName>
    <definedName name="ITEM5.3.3" localSheetId="3">'[4]25-27RC. PIPE(3หน้า)'!#REF!</definedName>
    <definedName name="ITEM5.3.3">'[4]25-27RC. PIPE(3หน้า)'!#REF!</definedName>
    <definedName name="ITEM5.4.1" localSheetId="5">'[4]25-27RC. PIPE(3หน้า)'!#REF!</definedName>
    <definedName name="ITEM5.4.1" localSheetId="3">'[4]25-27RC. PIPE(3หน้า)'!#REF!</definedName>
    <definedName name="ITEM5.4.1">'[4]25-27RC. PIPE(3หน้า)'!#REF!</definedName>
    <definedName name="ITEM5.4.2" localSheetId="5">'[4]25-27RC. PIPE(3หน้า)'!#REF!</definedName>
    <definedName name="ITEM5.4.2" localSheetId="3">'[4]25-27RC. PIPE(3หน้า)'!#REF!</definedName>
    <definedName name="ITEM5.4.2">'[4]25-27RC. PIPE(3หน้า)'!#REF!</definedName>
    <definedName name="ITEM5.4.3" localSheetId="5">'[4]25-27RC. PIPE(3หน้า)'!#REF!</definedName>
    <definedName name="ITEM5.4.3" localSheetId="3">'[4]25-27RC. PIPE(3หน้า)'!#REF!</definedName>
    <definedName name="ITEM5.4.3">'[4]25-27RC. PIPE(3หน้า)'!#REF!</definedName>
    <definedName name="ITEM6.1.1" localSheetId="5">#REF!</definedName>
    <definedName name="ITEM6.1.1" localSheetId="3">#REF!</definedName>
    <definedName name="ITEM6.1.1">#REF!</definedName>
    <definedName name="ITEM6.1.10" localSheetId="5">#REF!</definedName>
    <definedName name="ITEM6.1.10" localSheetId="3">#REF!</definedName>
    <definedName name="ITEM6.1.10">#REF!</definedName>
    <definedName name="ITEM6.1.11" localSheetId="5">#REF!</definedName>
    <definedName name="ITEM6.1.11" localSheetId="3">#REF!</definedName>
    <definedName name="ITEM6.1.11">#REF!</definedName>
    <definedName name="ITEM6.1.12" localSheetId="5">#REF!</definedName>
    <definedName name="ITEM6.1.12" localSheetId="3">#REF!</definedName>
    <definedName name="ITEM6.1.12">#REF!</definedName>
    <definedName name="ITEM6.1.13" localSheetId="5">#REF!</definedName>
    <definedName name="ITEM6.1.13" localSheetId="3">#REF!</definedName>
    <definedName name="ITEM6.1.13">#REF!</definedName>
    <definedName name="ITEM6.1.14" localSheetId="5">#REF!</definedName>
    <definedName name="ITEM6.1.14" localSheetId="3">#REF!</definedName>
    <definedName name="ITEM6.1.14">#REF!</definedName>
    <definedName name="ITEM6.1.15" localSheetId="5">#REF!</definedName>
    <definedName name="ITEM6.1.15" localSheetId="3">#REF!</definedName>
    <definedName name="ITEM6.1.15">#REF!</definedName>
    <definedName name="ITEM6.1.16" localSheetId="5">#REF!</definedName>
    <definedName name="ITEM6.1.16" localSheetId="3">#REF!</definedName>
    <definedName name="ITEM6.1.16">#REF!</definedName>
    <definedName name="ITEM6.1.17" localSheetId="5">#REF!</definedName>
    <definedName name="ITEM6.1.17" localSheetId="3">#REF!</definedName>
    <definedName name="ITEM6.1.17">#REF!</definedName>
    <definedName name="ITEM6.1.18" localSheetId="5">#REF!</definedName>
    <definedName name="ITEM6.1.18" localSheetId="3">#REF!</definedName>
    <definedName name="ITEM6.1.18">#REF!</definedName>
    <definedName name="ITEM6.1.2.2" localSheetId="5">#REF!</definedName>
    <definedName name="ITEM6.1.2.2" localSheetId="3">#REF!</definedName>
    <definedName name="ITEM6.1.2.2">#REF!</definedName>
    <definedName name="ITEM6.1.3" localSheetId="5">#REF!</definedName>
    <definedName name="ITEM6.1.3" localSheetId="3">#REF!</definedName>
    <definedName name="ITEM6.1.3">#REF!</definedName>
    <definedName name="ITEM6.1.4.1" localSheetId="5">#REF!</definedName>
    <definedName name="ITEM6.1.4.1" localSheetId="3">#REF!</definedName>
    <definedName name="ITEM6.1.4.1">#REF!</definedName>
    <definedName name="ITEM6.1.4.2" localSheetId="5">#REF!</definedName>
    <definedName name="ITEM6.1.4.2" localSheetId="3">#REF!</definedName>
    <definedName name="ITEM6.1.4.2">#REF!</definedName>
    <definedName name="ITEM6.1.8" localSheetId="5">#REF!</definedName>
    <definedName name="ITEM6.1.8" localSheetId="3">#REF!</definedName>
    <definedName name="ITEM6.1.8">#REF!</definedName>
    <definedName name="ITEM6.1.9" localSheetId="5">#REF!</definedName>
    <definedName name="ITEM6.1.9" localSheetId="3">#REF!</definedName>
    <definedName name="ITEM6.1.9">#REF!</definedName>
    <definedName name="ITEM6.10.1" localSheetId="5">#REF!</definedName>
    <definedName name="ITEM6.10.1" localSheetId="3">#REF!</definedName>
    <definedName name="ITEM6.10.1">#REF!</definedName>
    <definedName name="ITEM6.10.4.1" localSheetId="5">'[4]42หลักกิโล'!#REF!</definedName>
    <definedName name="ITEM6.10.4.1" localSheetId="3">'[4]42หลักกิโล'!#REF!</definedName>
    <definedName name="ITEM6.10.4.1">'[4]42หลักกิโล'!#REF!</definedName>
    <definedName name="ITEM6.10.4.2" localSheetId="5">'[4]42หลักกิโล'!#REF!</definedName>
    <definedName name="ITEM6.10.4.2" localSheetId="3">'[4]42หลักกิโล'!#REF!</definedName>
    <definedName name="ITEM6.10.4.2">'[4]42หลักกิโล'!#REF!</definedName>
    <definedName name="ITEM6.11.2.2" localSheetId="5">#REF!</definedName>
    <definedName name="ITEM6.11.2.2" localSheetId="3">#REF!</definedName>
    <definedName name="ITEM6.11.2.2">#REF!</definedName>
    <definedName name="ITEM6.11.3.1" localSheetId="5">#REF!</definedName>
    <definedName name="ITEM6.11.3.1" localSheetId="3">#REF!</definedName>
    <definedName name="ITEM6.11.3.1">#REF!</definedName>
    <definedName name="ITEM6.11.3.2" localSheetId="5">#REF!</definedName>
    <definedName name="ITEM6.11.3.2" localSheetId="3">#REF!</definedName>
    <definedName name="ITEM6.11.3.2">#REF!</definedName>
    <definedName name="ITEM6.11.4.1" localSheetId="5">#REF!</definedName>
    <definedName name="ITEM6.11.4.1" localSheetId="3">#REF!</definedName>
    <definedName name="ITEM6.11.4.1">#REF!</definedName>
    <definedName name="ITEM6.11.4.1.2" localSheetId="5">#REF!</definedName>
    <definedName name="ITEM6.11.4.1.2" localSheetId="3">#REF!</definedName>
    <definedName name="ITEM6.11.4.1.2">#REF!</definedName>
    <definedName name="ITEM6.11.5.1" localSheetId="5">#REF!</definedName>
    <definedName name="ITEM6.11.5.1" localSheetId="3">#REF!</definedName>
    <definedName name="ITEM6.11.5.1">#REF!</definedName>
    <definedName name="ITEM6.12.10.1" localSheetId="5">#REF!</definedName>
    <definedName name="ITEM6.12.10.1" localSheetId="3">#REF!</definedName>
    <definedName name="ITEM6.12.10.1">#REF!</definedName>
    <definedName name="ITEM6.13.2.1" localSheetId="5">#REF!</definedName>
    <definedName name="ITEM6.13.2.1" localSheetId="3">#REF!</definedName>
    <definedName name="ITEM6.13.2.1">#REF!</definedName>
    <definedName name="ITEM6.14.1" localSheetId="5">#REF!</definedName>
    <definedName name="ITEM6.14.1" localSheetId="3">#REF!</definedName>
    <definedName name="ITEM6.14.1">#REF!</definedName>
    <definedName name="ITEM6.14.2" localSheetId="5">#REF!</definedName>
    <definedName name="ITEM6.14.2" localSheetId="3">#REF!</definedName>
    <definedName name="ITEM6.14.2">#REF!</definedName>
    <definedName name="ITEM6.15.4" localSheetId="5">#REF!</definedName>
    <definedName name="ITEM6.15.4" localSheetId="3">#REF!</definedName>
    <definedName name="ITEM6.15.4">#REF!</definedName>
    <definedName name="ITEM6.15.4.2" localSheetId="5">#REF!</definedName>
    <definedName name="ITEM6.15.4.2" localSheetId="3">#REF!</definedName>
    <definedName name="ITEM6.15.4.2">#REF!</definedName>
    <definedName name="ITEM6.15.7" localSheetId="5">#REF!</definedName>
    <definedName name="ITEM6.15.7" localSheetId="3">#REF!</definedName>
    <definedName name="ITEM6.15.7">#REF!</definedName>
    <definedName name="ITEM6.16" localSheetId="5">#REF!</definedName>
    <definedName name="ITEM6.16" localSheetId="3">#REF!</definedName>
    <definedName name="ITEM6.16">#REF!</definedName>
    <definedName name="ITEM6.17.1" localSheetId="5">#REF!</definedName>
    <definedName name="ITEM6.17.1" localSheetId="3">#REF!</definedName>
    <definedName name="ITEM6.17.1">#REF!</definedName>
    <definedName name="ITEM6.17.2" localSheetId="5">#REF!</definedName>
    <definedName name="ITEM6.17.2" localSheetId="3">#REF!</definedName>
    <definedName name="ITEM6.17.2">#REF!</definedName>
    <definedName name="ITEM6.17.3" localSheetId="5">#REF!</definedName>
    <definedName name="ITEM6.17.3" localSheetId="3">#REF!</definedName>
    <definedName name="ITEM6.17.3">#REF!</definedName>
    <definedName name="ITEM6.17.4" localSheetId="5">#REF!</definedName>
    <definedName name="ITEM6.17.4" localSheetId="3">#REF!</definedName>
    <definedName name="ITEM6.17.4">#REF!</definedName>
    <definedName name="ITEM6.17.5" localSheetId="5">#REF!</definedName>
    <definedName name="ITEM6.17.5" localSheetId="3">#REF!</definedName>
    <definedName name="ITEM6.17.5">#REF!</definedName>
    <definedName name="ITEM6.17.6" localSheetId="5">#REF!</definedName>
    <definedName name="ITEM6.17.6" localSheetId="3">#REF!</definedName>
    <definedName name="ITEM6.17.6">#REF!</definedName>
    <definedName name="ITEM6.18.4.1" localSheetId="5">#REF!</definedName>
    <definedName name="ITEM6.18.4.1" localSheetId="3">#REF!</definedName>
    <definedName name="ITEM6.18.4.1">#REF!</definedName>
    <definedName name="ITEM6.2.1" localSheetId="5">#REF!</definedName>
    <definedName name="ITEM6.2.1" localSheetId="3">#REF!</definedName>
    <definedName name="ITEM6.2.1">#REF!</definedName>
    <definedName name="ITEM6.2.2" localSheetId="5">#REF!</definedName>
    <definedName name="ITEM6.2.2" localSheetId="3">#REF!</definedName>
    <definedName name="ITEM6.2.2">#REF!</definedName>
    <definedName name="ITEM6.21" localSheetId="5">'[4]52ป้ายชั่วคราว+ด่าน'!#REF!</definedName>
    <definedName name="ITEM6.21" localSheetId="3">'[4]52ป้ายชั่วคราว+ด่าน'!#REF!</definedName>
    <definedName name="ITEM6.21">'[4]52ป้ายชั่วคราว+ด่าน'!#REF!</definedName>
    <definedName name="ITEM6.22" localSheetId="5">'[4]52ป้ายชั่วคราว+ด่าน'!#REF!</definedName>
    <definedName name="ITEM6.22" localSheetId="3">'[4]52ป้ายชั่วคราว+ด่าน'!#REF!</definedName>
    <definedName name="ITEM6.22">'[4]52ป้ายชั่วคราว+ด่าน'!#REF!</definedName>
    <definedName name="ITEM6.3.1.1" localSheetId="5">#REF!</definedName>
    <definedName name="ITEM6.3.1.1" localSheetId="3">#REF!</definedName>
    <definedName name="ITEM6.3.1.1">#REF!</definedName>
    <definedName name="ITEM6.3.1.2.1" localSheetId="5">#REF!</definedName>
    <definedName name="ITEM6.3.1.2.1" localSheetId="3">#REF!</definedName>
    <definedName name="ITEM6.3.1.2.1">#REF!</definedName>
    <definedName name="ITEM6.3.1.2.2" localSheetId="5">#REF!</definedName>
    <definedName name="ITEM6.3.1.2.2" localSheetId="3">#REF!</definedName>
    <definedName name="ITEM6.3.1.2.2">#REF!</definedName>
    <definedName name="ITEM6.3.1.2.3" localSheetId="5">#REF!</definedName>
    <definedName name="ITEM6.3.1.2.3" localSheetId="3">#REF!</definedName>
    <definedName name="ITEM6.3.1.2.3">#REF!</definedName>
    <definedName name="ITEM6.3.1.2.4" localSheetId="5">#REF!</definedName>
    <definedName name="ITEM6.3.1.2.4" localSheetId="3">#REF!</definedName>
    <definedName name="ITEM6.3.1.2.4">#REF!</definedName>
    <definedName name="ITEM6.3.1.2.5" localSheetId="5">#REF!</definedName>
    <definedName name="ITEM6.3.1.2.5" localSheetId="3">#REF!</definedName>
    <definedName name="ITEM6.3.1.2.5">#REF!</definedName>
    <definedName name="ITEM6.3.1.2.6" localSheetId="5">#REF!</definedName>
    <definedName name="ITEM6.3.1.2.6" localSheetId="3">#REF!</definedName>
    <definedName name="ITEM6.3.1.2.6">#REF!</definedName>
    <definedName name="ITEM6.3.1.2.7" localSheetId="5">#REF!</definedName>
    <definedName name="ITEM6.3.1.2.7" localSheetId="3">#REF!</definedName>
    <definedName name="ITEM6.3.1.2.7">#REF!</definedName>
    <definedName name="ITEM6.3.1.2.8" localSheetId="5">#REF!</definedName>
    <definedName name="ITEM6.3.1.2.8" localSheetId="3">#REF!</definedName>
    <definedName name="ITEM6.3.1.2.8">#REF!</definedName>
    <definedName name="ITEM6.3.1.3.1" localSheetId="5">#REF!</definedName>
    <definedName name="ITEM6.3.1.3.1" localSheetId="3">#REF!</definedName>
    <definedName name="ITEM6.3.1.3.1">#REF!</definedName>
    <definedName name="ITEM6.3.1.3.2" localSheetId="5">#REF!</definedName>
    <definedName name="ITEM6.3.1.3.2" localSheetId="3">#REF!</definedName>
    <definedName name="ITEM6.3.1.3.2">#REF!</definedName>
    <definedName name="ITEM6.3.1.4.1" localSheetId="5">#REF!</definedName>
    <definedName name="ITEM6.3.1.4.1" localSheetId="3">#REF!</definedName>
    <definedName name="ITEM6.3.1.4.1">#REF!</definedName>
    <definedName name="ITEM6.3.1.4.2" localSheetId="5">#REF!</definedName>
    <definedName name="ITEM6.3.1.4.2" localSheetId="3">#REF!</definedName>
    <definedName name="ITEM6.3.1.4.2">#REF!</definedName>
    <definedName name="ITEM6.3.1.4.3" localSheetId="5">#REF!</definedName>
    <definedName name="ITEM6.3.1.4.3" localSheetId="3">#REF!</definedName>
    <definedName name="ITEM6.3.1.4.3">#REF!</definedName>
    <definedName name="ITEM6.3.1.5" localSheetId="5">#REF!</definedName>
    <definedName name="ITEM6.3.1.5" localSheetId="3">#REF!</definedName>
    <definedName name="ITEM6.3.1.5">#REF!</definedName>
    <definedName name="ITEM6.3.1.6" localSheetId="5">#REF!</definedName>
    <definedName name="ITEM6.3.1.6" localSheetId="3">#REF!</definedName>
    <definedName name="ITEM6.3.1.6">#REF!</definedName>
    <definedName name="ITEM6.3.1.7" localSheetId="5">#REF!</definedName>
    <definedName name="ITEM6.3.1.7" localSheetId="3">#REF!</definedName>
    <definedName name="ITEM6.3.1.7">#REF!</definedName>
    <definedName name="ITEM6.3.10" localSheetId="5">#REF!</definedName>
    <definedName name="ITEM6.3.10" localSheetId="3">#REF!</definedName>
    <definedName name="ITEM6.3.10">#REF!</definedName>
    <definedName name="ITEM6.3.11" localSheetId="5">#REF!</definedName>
    <definedName name="ITEM6.3.11" localSheetId="3">#REF!</definedName>
    <definedName name="ITEM6.3.11">#REF!</definedName>
    <definedName name="ITEM6.3.12.1" localSheetId="5">#REF!</definedName>
    <definedName name="ITEM6.3.12.1" localSheetId="3">#REF!</definedName>
    <definedName name="ITEM6.3.12.1">#REF!</definedName>
    <definedName name="ITEM6.3.12.2" localSheetId="5">#REF!</definedName>
    <definedName name="ITEM6.3.12.2" localSheetId="3">#REF!</definedName>
    <definedName name="ITEM6.3.12.2">#REF!</definedName>
    <definedName name="ITEM6.3.12.3" localSheetId="5">#REF!</definedName>
    <definedName name="ITEM6.3.12.3" localSheetId="3">#REF!</definedName>
    <definedName name="ITEM6.3.12.3">#REF!</definedName>
    <definedName name="ITEM6.3.13.1" localSheetId="5">#REF!</definedName>
    <definedName name="ITEM6.3.13.1" localSheetId="3">#REF!</definedName>
    <definedName name="ITEM6.3.13.1">#REF!</definedName>
    <definedName name="ITEM6.3.14.1" localSheetId="5">#REF!</definedName>
    <definedName name="ITEM6.3.14.1" localSheetId="3">#REF!</definedName>
    <definedName name="ITEM6.3.14.1">#REF!</definedName>
    <definedName name="ITEM6.3.14.2" localSheetId="5">#REF!</definedName>
    <definedName name="ITEM6.3.14.2" localSheetId="3">#REF!</definedName>
    <definedName name="ITEM6.3.14.2">#REF!</definedName>
    <definedName name="ITEM6.3.14.3" localSheetId="5">#REF!</definedName>
    <definedName name="ITEM6.3.14.3" localSheetId="3">#REF!</definedName>
    <definedName name="ITEM6.3.14.3">#REF!</definedName>
    <definedName name="ITEM6.3.2" localSheetId="5">#REF!</definedName>
    <definedName name="ITEM6.3.2" localSheetId="3">#REF!</definedName>
    <definedName name="ITEM6.3.2">#REF!</definedName>
    <definedName name="ITEM6.3.3.1.1" localSheetId="5">#REF!</definedName>
    <definedName name="ITEM6.3.3.1.1" localSheetId="3">#REF!</definedName>
    <definedName name="ITEM6.3.3.1.1">#REF!</definedName>
    <definedName name="ITEM6.3.3.1.2" localSheetId="5">#REF!</definedName>
    <definedName name="ITEM6.3.3.1.2" localSheetId="3">#REF!</definedName>
    <definedName name="ITEM6.3.3.1.2">#REF!</definedName>
    <definedName name="ITEM6.3.3.1.3" localSheetId="5">#REF!</definedName>
    <definedName name="ITEM6.3.3.1.3" localSheetId="3">#REF!</definedName>
    <definedName name="ITEM6.3.3.1.3">#REF!</definedName>
    <definedName name="ITEM6.3.3.1.4" localSheetId="5">#REF!</definedName>
    <definedName name="ITEM6.3.3.1.4" localSheetId="3">#REF!</definedName>
    <definedName name="ITEM6.3.3.1.4">#REF!</definedName>
    <definedName name="ITEM6.3.3.1.5" localSheetId="5">#REF!</definedName>
    <definedName name="ITEM6.3.3.1.5" localSheetId="3">#REF!</definedName>
    <definedName name="ITEM6.3.3.1.5">#REF!</definedName>
    <definedName name="ITEM6.3.3.2.1" localSheetId="5">#REF!</definedName>
    <definedName name="ITEM6.3.3.2.1" localSheetId="3">#REF!</definedName>
    <definedName name="ITEM6.3.3.2.1">#REF!</definedName>
    <definedName name="ITEM6.3.3.2.2" localSheetId="5">#REF!</definedName>
    <definedName name="ITEM6.3.3.2.2" localSheetId="3">#REF!</definedName>
    <definedName name="ITEM6.3.3.2.2">#REF!</definedName>
    <definedName name="ITEM6.3.3.2.3" localSheetId="5">#REF!</definedName>
    <definedName name="ITEM6.3.3.2.3" localSheetId="3">#REF!</definedName>
    <definedName name="ITEM6.3.3.2.3">#REF!</definedName>
    <definedName name="ITEM6.3.3.2.4" localSheetId="5">#REF!</definedName>
    <definedName name="ITEM6.3.3.2.4" localSheetId="3">#REF!</definedName>
    <definedName name="ITEM6.3.3.2.4">#REF!</definedName>
    <definedName name="ITEM6.3.3.2.5" localSheetId="5">#REF!</definedName>
    <definedName name="ITEM6.3.3.2.5" localSheetId="3">#REF!</definedName>
    <definedName name="ITEM6.3.3.2.5">#REF!</definedName>
    <definedName name="ITEM6.3.4" localSheetId="5">#REF!</definedName>
    <definedName name="ITEM6.3.4" localSheetId="3">#REF!</definedName>
    <definedName name="ITEM6.3.4">#REF!</definedName>
    <definedName name="ITEM6.3.6.1" localSheetId="5">#REF!</definedName>
    <definedName name="ITEM6.3.6.1" localSheetId="3">#REF!</definedName>
    <definedName name="ITEM6.3.6.1">#REF!</definedName>
    <definedName name="ITEM6.3.6.2" localSheetId="5">#REF!</definedName>
    <definedName name="ITEM6.3.6.2" localSheetId="3">#REF!</definedName>
    <definedName name="ITEM6.3.6.2">#REF!</definedName>
    <definedName name="ITEM6.3.6.3" localSheetId="5">#REF!</definedName>
    <definedName name="ITEM6.3.6.3" localSheetId="3">#REF!</definedName>
    <definedName name="ITEM6.3.6.3">#REF!</definedName>
    <definedName name="ITEM6.3.6.4" localSheetId="5">#REF!</definedName>
    <definedName name="ITEM6.3.6.4" localSheetId="3">#REF!</definedName>
    <definedName name="ITEM6.3.6.4">#REF!</definedName>
    <definedName name="ITEM6.3.7" localSheetId="5">#REF!</definedName>
    <definedName name="ITEM6.3.7" localSheetId="3">#REF!</definedName>
    <definedName name="ITEM6.3.7">#REF!</definedName>
    <definedName name="ITEM6.3.8.1" localSheetId="5">#REF!</definedName>
    <definedName name="ITEM6.3.8.1" localSheetId="3">#REF!</definedName>
    <definedName name="ITEM6.3.8.1">#REF!</definedName>
    <definedName name="ITEM6.3.8.2" localSheetId="5">#REF!</definedName>
    <definedName name="ITEM6.3.8.2" localSheetId="3">#REF!</definedName>
    <definedName name="ITEM6.3.8.2">#REF!</definedName>
    <definedName name="ITEM6.4.1" localSheetId="5">#REF!</definedName>
    <definedName name="ITEM6.4.1" localSheetId="3">#REF!</definedName>
    <definedName name="ITEM6.4.1">#REF!</definedName>
    <definedName name="ITEM6.4.2" localSheetId="5">#REF!</definedName>
    <definedName name="ITEM6.4.2" localSheetId="3">#REF!</definedName>
    <definedName name="ITEM6.4.2">#REF!</definedName>
    <definedName name="ITEM6.4.3" localSheetId="5">#REF!</definedName>
    <definedName name="ITEM6.4.3" localSheetId="3">#REF!</definedName>
    <definedName name="ITEM6.4.3">#REF!</definedName>
    <definedName name="ITEM6.4.4" localSheetId="5">#REF!</definedName>
    <definedName name="ITEM6.4.4" localSheetId="3">#REF!</definedName>
    <definedName name="ITEM6.4.4">#REF!</definedName>
    <definedName name="ITEM6.4.5.1" localSheetId="5">#REF!</definedName>
    <definedName name="ITEM6.4.5.1" localSheetId="3">#REF!</definedName>
    <definedName name="ITEM6.4.5.1">#REF!</definedName>
    <definedName name="ITEM6.4.5.2" localSheetId="5">#REF!</definedName>
    <definedName name="ITEM6.4.5.2" localSheetId="3">#REF!</definedName>
    <definedName name="ITEM6.4.5.2">#REF!</definedName>
    <definedName name="ITEM6.4.5.3" localSheetId="5">#REF!</definedName>
    <definedName name="ITEM6.4.5.3" localSheetId="3">#REF!</definedName>
    <definedName name="ITEM6.4.5.3">#REF!</definedName>
    <definedName name="ITEM6.4.5.4" localSheetId="5">#REF!</definedName>
    <definedName name="ITEM6.4.5.4" localSheetId="3">#REF!</definedName>
    <definedName name="ITEM6.4.5.4">#REF!</definedName>
    <definedName name="ITEM6.4.6.1" localSheetId="5">#REF!</definedName>
    <definedName name="ITEM6.4.6.1" localSheetId="3">#REF!</definedName>
    <definedName name="ITEM6.4.6.1">#REF!</definedName>
    <definedName name="ITEM6.4.6.2" localSheetId="5">#REF!</definedName>
    <definedName name="ITEM6.4.6.2" localSheetId="3">#REF!</definedName>
    <definedName name="ITEM6.4.6.2">#REF!</definedName>
    <definedName name="ITEM6.4.6.3" localSheetId="5">#REF!</definedName>
    <definedName name="ITEM6.4.6.3" localSheetId="3">#REF!</definedName>
    <definedName name="ITEM6.4.6.3">#REF!</definedName>
    <definedName name="ITEM6.4.6.4" localSheetId="5">#REF!</definedName>
    <definedName name="ITEM6.4.6.4" localSheetId="3">#REF!</definedName>
    <definedName name="ITEM6.4.6.4">#REF!</definedName>
    <definedName name="ITEM6.4.6.5" localSheetId="5">#REF!</definedName>
    <definedName name="ITEM6.4.6.5" localSheetId="3">#REF!</definedName>
    <definedName name="ITEM6.4.6.5">#REF!</definedName>
    <definedName name="ITEM6.5.1" localSheetId="5">#REF!</definedName>
    <definedName name="ITEM6.5.1" localSheetId="3">#REF!</definedName>
    <definedName name="ITEM6.5.1">#REF!</definedName>
    <definedName name="ITEM6.5.2" localSheetId="5">#REF!</definedName>
    <definedName name="ITEM6.5.2" localSheetId="3">#REF!</definedName>
    <definedName name="ITEM6.5.2">#REF!</definedName>
    <definedName name="ITEM6.6.1" localSheetId="5">#REF!</definedName>
    <definedName name="ITEM6.6.1" localSheetId="3">#REF!</definedName>
    <definedName name="ITEM6.6.1">#REF!</definedName>
    <definedName name="ITEM6.6.2" localSheetId="5">#REF!</definedName>
    <definedName name="ITEM6.6.2" localSheetId="3">#REF!</definedName>
    <definedName name="ITEM6.6.2">#REF!</definedName>
    <definedName name="ITEM6.7.1" localSheetId="5">#REF!</definedName>
    <definedName name="ITEM6.7.1" localSheetId="3">#REF!</definedName>
    <definedName name="ITEM6.7.1">#REF!</definedName>
    <definedName name="ITEM6.8.1" localSheetId="5">#REF!</definedName>
    <definedName name="ITEM6.8.1" localSheetId="3">#REF!</definedName>
    <definedName name="ITEM6.8.1">#REF!</definedName>
    <definedName name="ITEM6.9.1.1" localSheetId="5">#REF!</definedName>
    <definedName name="ITEM6.9.1.1" localSheetId="3">#REF!</definedName>
    <definedName name="ITEM6.9.1.1">#REF!</definedName>
    <definedName name="ITEM6.9.1.2" localSheetId="5">#REF!</definedName>
    <definedName name="ITEM6.9.1.2" localSheetId="3">#REF!</definedName>
    <definedName name="ITEM6.9.1.2">#REF!</definedName>
    <definedName name="L" localSheetId="5">#REF!</definedName>
    <definedName name="L" localSheetId="3">#REF!</definedName>
    <definedName name="L">#REF!</definedName>
    <definedName name="mc" localSheetId="5">#REF!</definedName>
    <definedName name="mc" localSheetId="3">#REF!</definedName>
    <definedName name="mc">#REF!</definedName>
    <definedName name="no_box">[17]Worksheet!$L$8</definedName>
    <definedName name="OLE_LINK1" localSheetId="0">ใบรับรองแบบรูปและรายการ!#REF!</definedName>
    <definedName name="pd" localSheetId="5">#REF!</definedName>
    <definedName name="pd" localSheetId="3">#REF!</definedName>
    <definedName name="pd">#REF!</definedName>
    <definedName name="PIPE1.2" localSheetId="5">'[4]25-27RC. PIPE(3หน้า)'!#REF!</definedName>
    <definedName name="PIPE1.2" localSheetId="3">'[4]25-27RC. PIPE(3หน้า)'!#REF!</definedName>
    <definedName name="PIPE1.2">'[4]25-27RC. PIPE(3หน้า)'!#REF!</definedName>
    <definedName name="PIPE1.5" localSheetId="5">'[4]25-27RC. PIPE(3หน้า)'!#REF!</definedName>
    <definedName name="PIPE1.5" localSheetId="3">'[4]25-27RC. PIPE(3หน้า)'!#REF!</definedName>
    <definedName name="PIPE1.5">'[4]25-27RC. PIPE(3หน้า)'!#REF!</definedName>
    <definedName name="PIPE40" localSheetId="5">'[4]25-27RC. PIPE(3หน้า)'!#REF!</definedName>
    <definedName name="PIPE40" localSheetId="3">'[4]25-27RC. PIPE(3หน้า)'!#REF!</definedName>
    <definedName name="PIPE40">'[4]25-27RC. PIPE(3หน้า)'!#REF!</definedName>
    <definedName name="PIPE60" localSheetId="5">'[4]25-27RC. PIPE(3หน้า)'!#REF!</definedName>
    <definedName name="PIPE60" localSheetId="3">'[4]25-27RC. PIPE(3หน้า)'!#REF!</definedName>
    <definedName name="PIPE60">'[4]25-27RC. PIPE(3หน้า)'!#REF!</definedName>
    <definedName name="PIPE80" localSheetId="5">'[4]25-27RC. PIPE(3หน้า)'!#REF!</definedName>
    <definedName name="PIPE80" localSheetId="3">'[4]25-27RC. PIPE(3หน้า)'!#REF!</definedName>
    <definedName name="PIPE80">'[4]25-27RC. PIPE(3หน้า)'!#REF!</definedName>
    <definedName name="_xlnm.Print_Area" localSheetId="5">'งวดงาน '!$A$1:$C$27</definedName>
    <definedName name="_xlnm.Print_Area" localSheetId="0">ใบรับรองแบบรูปและรายการ!$A$1:$F$31</definedName>
    <definedName name="_xlnm.Print_Area" localSheetId="4">ปร.4!$A$1:$J$231</definedName>
    <definedName name="_xlnm.Print_Area" localSheetId="2">'ปร.5 (ก)'!$A$1:$F$36</definedName>
    <definedName name="_xlnm.Print_Area" localSheetId="3">'ปร.5 (ข)'!$A$1:$F$34</definedName>
    <definedName name="_xlnm.Print_Area" localSheetId="1">ปร.6!$A$1:$D$35</definedName>
    <definedName name="_xlnm.Print_Titles" localSheetId="4">ปร.4!$1:$6</definedName>
    <definedName name="rb" localSheetId="5">'[14]10 ข้อมูลวัสดุ-ค่าดำเนิน'!$X$15</definedName>
    <definedName name="rb">'[15]10 ข้อมูลวัสดุ-ค่าดำเนิน'!$X$15</definedName>
    <definedName name="rbb" localSheetId="5">'[14]10 ข้อมูลวัสดุ-ค่าดำเนิน'!$X$15</definedName>
    <definedName name="rbb">'[15]10 ข้อมูลวัสดุ-ค่าดำเนิน'!$X$15</definedName>
    <definedName name="RET">'[18]11 ข้อมูลงานCon'!$R$11</definedName>
    <definedName name="ROCK.AC" localSheetId="5">'[4]3ข้อมูลวัสดุ-ค่าดำเนิน'!#REF!</definedName>
    <definedName name="ROCK.AC" localSheetId="3">'[4]3ข้อมูลวัสดุ-ค่าดำเนิน'!#REF!</definedName>
    <definedName name="ROCK.AC">'[4]3ข้อมูลวัสดุ-ค่าดำเนิน'!#REF!</definedName>
    <definedName name="rrr" localSheetId="5">'[12]10 ข้อมูลวัสดุ-ค่าดำเนิน'!$X$15</definedName>
    <definedName name="rrr">'[13]10 ข้อมูลวัสดุ-ค่าดำเนิน'!$X$15</definedName>
    <definedName name="S" localSheetId="5">#REF!</definedName>
    <definedName name="S" localSheetId="3">#REF!</definedName>
    <definedName name="S">#REF!</definedName>
    <definedName name="SB" localSheetId="5">'[14]12 ข้อมูลงานไม้แบบ'!$W$29</definedName>
    <definedName name="SB">'[15]12 ข้อมูลงานไม้แบบ'!$W$29</definedName>
    <definedName name="SBB" localSheetId="5">'[14]12 ข้อมูลงานไม้แบบ'!$W$29</definedName>
    <definedName name="SBB">'[15]12 ข้อมูลงานไม้แบบ'!$W$29</definedName>
    <definedName name="sss" localSheetId="5">'[12]12 ข้อมูลงานไม้แบบ'!$W$29</definedName>
    <definedName name="sss">'[13]12 ข้อมูลงานไม้แบบ'!$W$29</definedName>
    <definedName name="wb" localSheetId="5">'[14]10 ข้อมูลวัสดุ-ค่าดำเนิน'!$X$19</definedName>
    <definedName name="wb">'[15]10 ข้อมูลวัสดุ-ค่าดำเนิน'!$X$19</definedName>
    <definedName name="wbb" localSheetId="5">'[14]10 ข้อมูลวัสดุ-ค่าดำเนิน'!$X$19</definedName>
    <definedName name="wbb">'[15]10 ข้อมูลวัสดุ-ค่าดำเนิน'!$X$19</definedName>
    <definedName name="ww" localSheetId="5">'[12]10 ข้อมูลวัสดุ-ค่าดำเนิน'!$X$19</definedName>
    <definedName name="ww">'[13]10 ข้อมูลวัสดุ-ค่าดำเนิน'!$X$19</definedName>
    <definedName name="xx" localSheetId="5">'[6]11 ข้อมูลงานCon'!$AB$30</definedName>
    <definedName name="xx">'[5]11 ข้อมูลงานCon'!$AB$30</definedName>
    <definedName name="yy" localSheetId="5">'[6]10 ข้อมูลวัสดุ-ค่าดำเนิน'!$X$15</definedName>
    <definedName name="yy">'[5]10 ข้อมูลวัสดุ-ค่าดำเนิน'!$X$15</definedName>
    <definedName name="ดินถม" localSheetId="5">#REF!</definedName>
    <definedName name="ดินถม" localSheetId="3">#REF!</definedName>
    <definedName name="ดินถม">#REF!</definedName>
    <definedName name="ทรายถม" localSheetId="5">#REF!</definedName>
    <definedName name="ทรายถม" localSheetId="3">#REF!</definedName>
    <definedName name="ทรายถม">#REF!</definedName>
    <definedName name="ทรายผสม" localSheetId="5">#REF!</definedName>
    <definedName name="ทรายผสม" localSheetId="3">#REF!</definedName>
    <definedName name="ทรายผสม">#REF!</definedName>
    <definedName name="ฟา" localSheetId="5">#REF!</definedName>
    <definedName name="ฟา" localSheetId="3">#REF!</definedName>
    <definedName name="ฟา">#REF!</definedName>
    <definedName name="ฟๅ" localSheetId="5">#REF!</definedName>
    <definedName name="ฟๅ" localSheetId="3">#REF!</definedName>
    <definedName name="ฟๅ">#REF!</definedName>
    <definedName name="มอนต่า" localSheetId="5">#REF!</definedName>
    <definedName name="มอนต่า" localSheetId="3">#REF!</definedName>
    <definedName name="มอนต่า">#REF!</definedName>
    <definedName name="ไม้แบบ1" localSheetId="5">#REF!</definedName>
    <definedName name="ไม้แบบ1" localSheetId="3">#REF!</definedName>
    <definedName name="ไม้แบบ1">#REF!</definedName>
    <definedName name="ไม้แบบ2" localSheetId="5">#REF!</definedName>
    <definedName name="ไม้แบบ2" localSheetId="3">#REF!</definedName>
    <definedName name="ไม้แบบ2">#REF!</definedName>
    <definedName name="สะพาน" localSheetId="5">#REF!</definedName>
    <definedName name="สะพาน" localSheetId="3">#REF!</definedName>
    <definedName name="สะพาน">#REF!</definedName>
    <definedName name="หยาบ" localSheetId="5">#REF!</definedName>
    <definedName name="หยาบ" localSheetId="3">#REF!</definedName>
    <definedName name="หยาบ">#REF!</definedName>
    <definedName name="หินsingle" localSheetId="5">#REF!</definedName>
    <definedName name="หินsingle" localSheetId="3">#REF!</definedName>
    <definedName name="หินsingle">#REF!</definedName>
    <definedName name="หินคลุก" localSheetId="5">#REF!</definedName>
    <definedName name="หินคลุก" localSheetId="3">#REF!</definedName>
    <definedName name="หินคลุก">#REF!</definedName>
    <definedName name="หินผสม" localSheetId="5">#REF!</definedName>
    <definedName name="หินผสม" localSheetId="3">#REF!</definedName>
    <definedName name="หินผสม">#REF!</definedName>
    <definedName name="หินแอสฟัลท์" localSheetId="5">#REF!</definedName>
    <definedName name="หินแอสฟัลท์" localSheetId="3">#REF!</definedName>
    <definedName name="หินแอสฟัลท์">#REF!</definedName>
  </definedNames>
  <calcPr calcId="145621"/>
</workbook>
</file>

<file path=xl/calcChain.xml><?xml version="1.0" encoding="utf-8"?>
<calcChain xmlns="http://schemas.openxmlformats.org/spreadsheetml/2006/main">
  <c r="C9" i="5" l="1"/>
  <c r="C70" i="1" l="1"/>
  <c r="C69" i="1"/>
  <c r="C31" i="1"/>
  <c r="C43" i="1"/>
  <c r="C60" i="1"/>
  <c r="C46" i="1"/>
  <c r="C39" i="1"/>
  <c r="C36" i="1"/>
  <c r="C27" i="1"/>
  <c r="C17" i="1"/>
  <c r="C157" i="1"/>
  <c r="C156" i="1"/>
  <c r="C153" i="1"/>
  <c r="C101" i="1" l="1"/>
  <c r="H199" i="1"/>
  <c r="H198" i="1"/>
  <c r="F198" i="1"/>
  <c r="F199" i="1" s="1"/>
  <c r="I199" i="1" l="1"/>
  <c r="I198" i="1"/>
  <c r="C38" i="1"/>
  <c r="C59" i="1"/>
  <c r="C37" i="1"/>
  <c r="G148" i="1"/>
  <c r="C82" i="1"/>
  <c r="C81" i="1"/>
  <c r="C45" i="1"/>
  <c r="H193" i="1" l="1"/>
  <c r="H120" i="1"/>
  <c r="F120" i="1"/>
  <c r="I120" i="1" l="1"/>
  <c r="F193" i="1"/>
  <c r="I193" i="1" s="1"/>
  <c r="C195" i="1" l="1"/>
  <c r="C194" i="1"/>
  <c r="F194" i="1" s="1"/>
  <c r="H194" i="1" l="1"/>
  <c r="I194" i="1" s="1"/>
  <c r="H182" i="1"/>
  <c r="F182" i="1"/>
  <c r="G180" i="1"/>
  <c r="G171" i="1"/>
  <c r="H173" i="1"/>
  <c r="F173" i="1"/>
  <c r="H164" i="1"/>
  <c r="F164" i="1"/>
  <c r="H156" i="1"/>
  <c r="F156" i="1"/>
  <c r="H149" i="1"/>
  <c r="F149" i="1"/>
  <c r="C140" i="1"/>
  <c r="H140" i="1" s="1"/>
  <c r="G137" i="1"/>
  <c r="H132" i="1"/>
  <c r="F132" i="1"/>
  <c r="G131" i="1"/>
  <c r="I173" i="1" l="1"/>
  <c r="I156" i="1"/>
  <c r="I182" i="1"/>
  <c r="I164" i="1"/>
  <c r="I149" i="1"/>
  <c r="F140" i="1"/>
  <c r="I140" i="1" s="1"/>
  <c r="I132" i="1"/>
  <c r="B15" i="3" l="1"/>
  <c r="B14" i="3"/>
  <c r="B13" i="3"/>
  <c r="E16" i="3"/>
  <c r="E17" i="3"/>
  <c r="H137" i="1" l="1"/>
  <c r="H138" i="1"/>
  <c r="H139" i="1"/>
  <c r="F137" i="1"/>
  <c r="F138" i="1"/>
  <c r="F139" i="1"/>
  <c r="F195" i="1"/>
  <c r="H195" i="1"/>
  <c r="F183" i="1"/>
  <c r="H183" i="1"/>
  <c r="F174" i="1"/>
  <c r="H174" i="1"/>
  <c r="F165" i="1"/>
  <c r="H165" i="1"/>
  <c r="F133" i="1"/>
  <c r="H133" i="1"/>
  <c r="F126" i="1"/>
  <c r="H126" i="1"/>
  <c r="C141" i="1"/>
  <c r="H141" i="1" s="1"/>
  <c r="F157" i="1"/>
  <c r="H157" i="1"/>
  <c r="F150" i="1"/>
  <c r="H150" i="1"/>
  <c r="F116" i="1"/>
  <c r="H102" i="1"/>
  <c r="H106" i="1"/>
  <c r="H107" i="1"/>
  <c r="F102" i="1"/>
  <c r="F106" i="1"/>
  <c r="F107" i="1"/>
  <c r="I126" i="1" l="1"/>
  <c r="I133" i="1"/>
  <c r="I195" i="1"/>
  <c r="I139" i="1"/>
  <c r="I138" i="1"/>
  <c r="I137" i="1"/>
  <c r="F141" i="1"/>
  <c r="I141" i="1" s="1"/>
  <c r="I157" i="1"/>
  <c r="I174" i="1"/>
  <c r="I183" i="1"/>
  <c r="I150" i="1"/>
  <c r="I165" i="1"/>
  <c r="I106" i="1"/>
  <c r="I102" i="1"/>
  <c r="I107" i="1"/>
  <c r="H93" i="1"/>
  <c r="H94" i="1"/>
  <c r="H95" i="1"/>
  <c r="H96" i="1"/>
  <c r="H97" i="1"/>
  <c r="H98" i="1"/>
  <c r="F93" i="1"/>
  <c r="F94" i="1"/>
  <c r="F95" i="1"/>
  <c r="F96" i="1"/>
  <c r="F97" i="1"/>
  <c r="F98" i="1"/>
  <c r="H80" i="1"/>
  <c r="H85" i="1"/>
  <c r="F80" i="1"/>
  <c r="F85" i="1"/>
  <c r="H75" i="1"/>
  <c r="F75" i="1"/>
  <c r="H63" i="1"/>
  <c r="F63" i="1"/>
  <c r="H44" i="1"/>
  <c r="H51" i="1"/>
  <c r="F44" i="1"/>
  <c r="F51" i="1"/>
  <c r="E46" i="1"/>
  <c r="E60" i="1" s="1"/>
  <c r="I96" i="1" l="1"/>
  <c r="I98" i="1"/>
  <c r="I94" i="1"/>
  <c r="I63" i="1"/>
  <c r="I97" i="1"/>
  <c r="I93" i="1"/>
  <c r="I75" i="1"/>
  <c r="I51" i="1"/>
  <c r="I85" i="1"/>
  <c r="I44" i="1"/>
  <c r="I80" i="1"/>
  <c r="I95" i="1"/>
  <c r="H229" i="1"/>
  <c r="F229" i="1"/>
  <c r="H225" i="1"/>
  <c r="F225" i="1"/>
  <c r="H224" i="1"/>
  <c r="F224" i="1"/>
  <c r="H223" i="1"/>
  <c r="F223" i="1"/>
  <c r="H222" i="1"/>
  <c r="F222" i="1"/>
  <c r="H221" i="1"/>
  <c r="F221" i="1"/>
  <c r="H220" i="1"/>
  <c r="F220" i="1"/>
  <c r="H219" i="1"/>
  <c r="F219" i="1"/>
  <c r="H218" i="1"/>
  <c r="F218" i="1"/>
  <c r="H217" i="1"/>
  <c r="F217" i="1"/>
  <c r="H216" i="1"/>
  <c r="F216" i="1"/>
  <c r="H215" i="1"/>
  <c r="F215" i="1"/>
  <c r="H214" i="1"/>
  <c r="F214" i="1"/>
  <c r="H213" i="1"/>
  <c r="F213" i="1"/>
  <c r="H212" i="1"/>
  <c r="F212" i="1"/>
  <c r="H211" i="1"/>
  <c r="F211" i="1"/>
  <c r="H210" i="1"/>
  <c r="F210" i="1"/>
  <c r="H209" i="1"/>
  <c r="F209" i="1"/>
  <c r="H208" i="1"/>
  <c r="F208" i="1"/>
  <c r="H207" i="1"/>
  <c r="F207" i="1"/>
  <c r="H206" i="1"/>
  <c r="F206" i="1"/>
  <c r="H205" i="1"/>
  <c r="F205" i="1"/>
  <c r="H204" i="1"/>
  <c r="F204" i="1"/>
  <c r="H203" i="1"/>
  <c r="F203" i="1"/>
  <c r="I203" i="1" l="1"/>
  <c r="I205" i="1"/>
  <c r="I207" i="1"/>
  <c r="I209" i="1"/>
  <c r="I211" i="1"/>
  <c r="I213" i="1"/>
  <c r="I215" i="1"/>
  <c r="I217" i="1"/>
  <c r="I219" i="1"/>
  <c r="I221" i="1"/>
  <c r="I223" i="1"/>
  <c r="H226" i="1"/>
  <c r="I204" i="1"/>
  <c r="I206" i="1"/>
  <c r="I208" i="1"/>
  <c r="I210" i="1"/>
  <c r="I212" i="1"/>
  <c r="I214" i="1"/>
  <c r="I216" i="1"/>
  <c r="I218" i="1"/>
  <c r="I220" i="1"/>
  <c r="I222" i="1"/>
  <c r="I224" i="1"/>
  <c r="I225" i="1"/>
  <c r="I229" i="1"/>
  <c r="I230" i="1" s="1"/>
  <c r="C13" i="24" s="1"/>
  <c r="F226" i="1"/>
  <c r="F230" i="1"/>
  <c r="I226" i="1" l="1"/>
  <c r="F192" i="1"/>
  <c r="H192" i="1"/>
  <c r="F191" i="1"/>
  <c r="H191" i="1"/>
  <c r="C15" i="3" l="1"/>
  <c r="E15" i="3" s="1"/>
  <c r="I191" i="1"/>
  <c r="I192" i="1"/>
  <c r="F187" i="1"/>
  <c r="H187" i="1"/>
  <c r="F188" i="1"/>
  <c r="H188" i="1"/>
  <c r="F189" i="1"/>
  <c r="H189" i="1"/>
  <c r="F190" i="1"/>
  <c r="H190" i="1"/>
  <c r="H186" i="1"/>
  <c r="F186" i="1"/>
  <c r="F172" i="1"/>
  <c r="H172" i="1"/>
  <c r="F181" i="1"/>
  <c r="H181" i="1"/>
  <c r="F180" i="1"/>
  <c r="H180" i="1"/>
  <c r="F171" i="1"/>
  <c r="H171" i="1"/>
  <c r="F163" i="1"/>
  <c r="H163" i="1"/>
  <c r="H179" i="1"/>
  <c r="F179" i="1"/>
  <c r="H178" i="1"/>
  <c r="F178" i="1"/>
  <c r="H177" i="1"/>
  <c r="F177" i="1"/>
  <c r="H170" i="1"/>
  <c r="F170" i="1"/>
  <c r="H169" i="1"/>
  <c r="F169" i="1"/>
  <c r="H168" i="1"/>
  <c r="F168" i="1"/>
  <c r="F131" i="1"/>
  <c r="H131" i="1"/>
  <c r="H162" i="1"/>
  <c r="F162" i="1"/>
  <c r="H161" i="1"/>
  <c r="F161" i="1"/>
  <c r="H160" i="1"/>
  <c r="F160" i="1"/>
  <c r="H136" i="1"/>
  <c r="F136" i="1"/>
  <c r="H130" i="1"/>
  <c r="F130" i="1"/>
  <c r="H155" i="1"/>
  <c r="F155" i="1"/>
  <c r="H154" i="1"/>
  <c r="F154" i="1"/>
  <c r="H153" i="1"/>
  <c r="F153" i="1"/>
  <c r="F148" i="1"/>
  <c r="H148" i="1"/>
  <c r="F147" i="1"/>
  <c r="H147" i="1"/>
  <c r="F146" i="1"/>
  <c r="H146" i="1"/>
  <c r="F145" i="1"/>
  <c r="H145" i="1"/>
  <c r="C127" i="1"/>
  <c r="F175" i="1" l="1"/>
  <c r="I145" i="1"/>
  <c r="F166" i="1"/>
  <c r="H134" i="1"/>
  <c r="F134" i="1"/>
  <c r="I131" i="1"/>
  <c r="F158" i="1"/>
  <c r="H166" i="1"/>
  <c r="H158" i="1"/>
  <c r="I188" i="1"/>
  <c r="F196" i="1"/>
  <c r="I147" i="1"/>
  <c r="F184" i="1"/>
  <c r="I172" i="1"/>
  <c r="I181" i="1"/>
  <c r="I146" i="1"/>
  <c r="I180" i="1"/>
  <c r="I171" i="1"/>
  <c r="I189" i="1"/>
  <c r="I190" i="1"/>
  <c r="I187" i="1"/>
  <c r="I148" i="1"/>
  <c r="F142" i="1"/>
  <c r="F127" i="1"/>
  <c r="H127" i="1"/>
  <c r="I154" i="1"/>
  <c r="I155" i="1"/>
  <c r="H175" i="1"/>
  <c r="I169" i="1"/>
  <c r="I170" i="1"/>
  <c r="H184" i="1"/>
  <c r="I178" i="1"/>
  <c r="I179" i="1"/>
  <c r="H196" i="1"/>
  <c r="H142" i="1"/>
  <c r="I186" i="1"/>
  <c r="I163" i="1"/>
  <c r="I177" i="1"/>
  <c r="I168" i="1"/>
  <c r="I162" i="1"/>
  <c r="I161" i="1"/>
  <c r="I160" i="1"/>
  <c r="I136" i="1"/>
  <c r="I130" i="1"/>
  <c r="I153" i="1"/>
  <c r="C105" i="1"/>
  <c r="I158" i="1" l="1"/>
  <c r="I166" i="1"/>
  <c r="I127" i="1"/>
  <c r="I196" i="1"/>
  <c r="I175" i="1"/>
  <c r="I184" i="1"/>
  <c r="I142" i="1"/>
  <c r="I134" i="1"/>
  <c r="H105" i="1"/>
  <c r="F105" i="1"/>
  <c r="H115" i="1"/>
  <c r="F115" i="1"/>
  <c r="I105" i="1" l="1"/>
  <c r="F112" i="1"/>
  <c r="H112" i="1"/>
  <c r="C104" i="1"/>
  <c r="C103" i="1"/>
  <c r="H116" i="1"/>
  <c r="I116" i="1" s="1"/>
  <c r="H144" i="1"/>
  <c r="H151" i="1" s="1"/>
  <c r="F144" i="1"/>
  <c r="F151" i="1" s="1"/>
  <c r="I112" i="1" l="1"/>
  <c r="H103" i="1"/>
  <c r="F103" i="1"/>
  <c r="H104" i="1"/>
  <c r="F104" i="1"/>
  <c r="I144" i="1"/>
  <c r="H125" i="1"/>
  <c r="F125" i="1"/>
  <c r="F128" i="1" s="1"/>
  <c r="F121" i="1"/>
  <c r="H121" i="1"/>
  <c r="H119" i="1"/>
  <c r="F119" i="1"/>
  <c r="H117" i="1"/>
  <c r="F117" i="1"/>
  <c r="F111" i="1"/>
  <c r="H111" i="1"/>
  <c r="H110" i="1"/>
  <c r="F110" i="1"/>
  <c r="H101" i="1"/>
  <c r="F101" i="1"/>
  <c r="H92" i="1"/>
  <c r="F92" i="1"/>
  <c r="F99" i="1" s="1"/>
  <c r="C86" i="1"/>
  <c r="C84" i="1"/>
  <c r="C49" i="1"/>
  <c r="F113" i="1" l="1"/>
  <c r="I111" i="1"/>
  <c r="H84" i="1"/>
  <c r="F84" i="1"/>
  <c r="I104" i="1"/>
  <c r="I103" i="1"/>
  <c r="H45" i="1"/>
  <c r="F45" i="1"/>
  <c r="C83" i="1"/>
  <c r="H81" i="1"/>
  <c r="F81" i="1"/>
  <c r="H49" i="1"/>
  <c r="F49" i="1"/>
  <c r="H82" i="1"/>
  <c r="F82" i="1"/>
  <c r="H86" i="1"/>
  <c r="F86" i="1"/>
  <c r="H128" i="1"/>
  <c r="H113" i="1"/>
  <c r="I125" i="1"/>
  <c r="F123" i="1"/>
  <c r="I121" i="1"/>
  <c r="I110" i="1"/>
  <c r="I115" i="1"/>
  <c r="I119" i="1"/>
  <c r="H123" i="1"/>
  <c r="H108" i="1"/>
  <c r="H200" i="1" s="1"/>
  <c r="F108" i="1"/>
  <c r="F200" i="1" s="1"/>
  <c r="I101" i="1"/>
  <c r="H99" i="1"/>
  <c r="I99" i="1" s="1"/>
  <c r="I151" i="1"/>
  <c r="I117" i="1"/>
  <c r="I92" i="1"/>
  <c r="I113" i="1" l="1"/>
  <c r="I128" i="1"/>
  <c r="I45" i="1"/>
  <c r="I84" i="1"/>
  <c r="I123" i="1"/>
  <c r="I86" i="1"/>
  <c r="I82" i="1"/>
  <c r="I49" i="1"/>
  <c r="I81" i="1"/>
  <c r="H46" i="1"/>
  <c r="F46" i="1"/>
  <c r="H83" i="1"/>
  <c r="F83" i="1"/>
  <c r="I108" i="1"/>
  <c r="C65" i="1"/>
  <c r="C64" i="1"/>
  <c r="C62" i="1"/>
  <c r="C73" i="1"/>
  <c r="C68" i="1"/>
  <c r="I200" i="1" l="1"/>
  <c r="C14" i="3" s="1"/>
  <c r="E14" i="3" s="1"/>
  <c r="I83" i="1"/>
  <c r="I46" i="1"/>
  <c r="C72" i="1"/>
  <c r="H73" i="1"/>
  <c r="F73" i="1"/>
  <c r="F64" i="1"/>
  <c r="H64" i="1"/>
  <c r="H59" i="1"/>
  <c r="F59" i="1"/>
  <c r="F62" i="1"/>
  <c r="H62" i="1"/>
  <c r="H65" i="1"/>
  <c r="F65" i="1"/>
  <c r="H60" i="1"/>
  <c r="F60" i="1"/>
  <c r="C61" i="1"/>
  <c r="C74" i="1"/>
  <c r="C76" i="1"/>
  <c r="I62" i="1" l="1"/>
  <c r="I64" i="1"/>
  <c r="H61" i="1"/>
  <c r="F61" i="1"/>
  <c r="I60" i="1"/>
  <c r="I65" i="1"/>
  <c r="I59" i="1"/>
  <c r="I73" i="1"/>
  <c r="H76" i="1"/>
  <c r="F76" i="1"/>
  <c r="H74" i="1"/>
  <c r="F74" i="1"/>
  <c r="H72" i="1"/>
  <c r="F72" i="1"/>
  <c r="C53" i="1"/>
  <c r="I72" i="1" l="1"/>
  <c r="I74" i="1"/>
  <c r="I76" i="1"/>
  <c r="I61" i="1"/>
  <c r="H70" i="1"/>
  <c r="F70" i="1"/>
  <c r="C55" i="1"/>
  <c r="H53" i="1"/>
  <c r="F53" i="1"/>
  <c r="H69" i="1"/>
  <c r="F69" i="1"/>
  <c r="C71" i="1"/>
  <c r="C54" i="1"/>
  <c r="H79" i="1"/>
  <c r="H87" i="1" s="1"/>
  <c r="F79" i="1"/>
  <c r="F87" i="1" s="1"/>
  <c r="H68" i="1"/>
  <c r="F68" i="1"/>
  <c r="F58" i="1"/>
  <c r="H58" i="1"/>
  <c r="H43" i="1"/>
  <c r="C48" i="1"/>
  <c r="F39" i="1"/>
  <c r="C33" i="1"/>
  <c r="C34" i="1" s="1"/>
  <c r="H31" i="1"/>
  <c r="C52" i="1"/>
  <c r="F43" i="1"/>
  <c r="H38" i="1"/>
  <c r="E36" i="1"/>
  <c r="H39" i="1"/>
  <c r="H36" i="1"/>
  <c r="C23" i="1"/>
  <c r="C21" i="1"/>
  <c r="F21" i="1" s="1"/>
  <c r="E26" i="1"/>
  <c r="C26" i="1"/>
  <c r="H26" i="1" s="1"/>
  <c r="H21" i="1"/>
  <c r="C14" i="1"/>
  <c r="C40" i="1" l="1"/>
  <c r="H40" i="1" s="1"/>
  <c r="I70" i="1"/>
  <c r="F33" i="1"/>
  <c r="F38" i="1"/>
  <c r="I38" i="1" s="1"/>
  <c r="H37" i="1"/>
  <c r="F12" i="1"/>
  <c r="H12" i="1"/>
  <c r="H71" i="1"/>
  <c r="H77" i="1" s="1"/>
  <c r="F71" i="1"/>
  <c r="F77" i="1" s="1"/>
  <c r="I69" i="1"/>
  <c r="I53" i="1"/>
  <c r="F14" i="1"/>
  <c r="H14" i="1"/>
  <c r="H27" i="1"/>
  <c r="F27" i="1"/>
  <c r="F26" i="1"/>
  <c r="I26" i="1" s="1"/>
  <c r="H23" i="1"/>
  <c r="F23" i="1"/>
  <c r="H52" i="1"/>
  <c r="F52" i="1"/>
  <c r="H48" i="1"/>
  <c r="F48" i="1"/>
  <c r="H54" i="1"/>
  <c r="F54" i="1"/>
  <c r="H55" i="1"/>
  <c r="F55" i="1"/>
  <c r="H33" i="1"/>
  <c r="I33" i="1" s="1"/>
  <c r="C32" i="1"/>
  <c r="F32" i="1" s="1"/>
  <c r="I21" i="1"/>
  <c r="I87" i="1"/>
  <c r="C25" i="1"/>
  <c r="C24" i="1"/>
  <c r="C50" i="1"/>
  <c r="C15" i="1"/>
  <c r="F34" i="1"/>
  <c r="H34" i="1"/>
  <c r="I68" i="1"/>
  <c r="I79" i="1"/>
  <c r="I58" i="1"/>
  <c r="I43" i="1"/>
  <c r="C47" i="1"/>
  <c r="F37" i="1"/>
  <c r="F36" i="1"/>
  <c r="I36" i="1" s="1"/>
  <c r="F31" i="1"/>
  <c r="I31" i="1" s="1"/>
  <c r="C35" i="1"/>
  <c r="C28" i="1"/>
  <c r="I39" i="1"/>
  <c r="C22" i="1"/>
  <c r="C11" i="1"/>
  <c r="C9" i="1"/>
  <c r="F40" i="1" l="1"/>
  <c r="I40" i="1" s="1"/>
  <c r="H32" i="1"/>
  <c r="I32" i="1" s="1"/>
  <c r="I37" i="1"/>
  <c r="I48" i="1"/>
  <c r="I52" i="1"/>
  <c r="I27" i="1"/>
  <c r="I14" i="1"/>
  <c r="F22" i="1"/>
  <c r="H22" i="1"/>
  <c r="F28" i="1"/>
  <c r="H28" i="1"/>
  <c r="H11" i="1"/>
  <c r="F11" i="1"/>
  <c r="H47" i="1"/>
  <c r="F47" i="1"/>
  <c r="H50" i="1"/>
  <c r="F50" i="1"/>
  <c r="H25" i="1"/>
  <c r="F25" i="1"/>
  <c r="I55" i="1"/>
  <c r="I54" i="1"/>
  <c r="I23" i="1"/>
  <c r="I71" i="1"/>
  <c r="I12" i="1"/>
  <c r="H15" i="1"/>
  <c r="F15" i="1"/>
  <c r="F24" i="1"/>
  <c r="H24" i="1"/>
  <c r="I77" i="1"/>
  <c r="I34" i="1"/>
  <c r="F66" i="1"/>
  <c r="H66" i="1"/>
  <c r="H35" i="1"/>
  <c r="F35" i="1"/>
  <c r="C13" i="1"/>
  <c r="C10" i="1"/>
  <c r="F41" i="1" l="1"/>
  <c r="F29" i="1"/>
  <c r="I28" i="1"/>
  <c r="I22" i="1"/>
  <c r="I25" i="1"/>
  <c r="F10" i="1"/>
  <c r="H10" i="1"/>
  <c r="H17" i="1"/>
  <c r="F17" i="1"/>
  <c r="F56" i="1"/>
  <c r="I11" i="1"/>
  <c r="H13" i="1"/>
  <c r="F13" i="1"/>
  <c r="I24" i="1"/>
  <c r="I15" i="1"/>
  <c r="I50" i="1"/>
  <c r="I47" i="1"/>
  <c r="H56" i="1"/>
  <c r="H29" i="1"/>
  <c r="C18" i="1"/>
  <c r="I66" i="1"/>
  <c r="I35" i="1"/>
  <c r="H41" i="1"/>
  <c r="C16" i="1"/>
  <c r="I56" i="1" l="1"/>
  <c r="I17" i="1"/>
  <c r="I29" i="1"/>
  <c r="F16" i="1"/>
  <c r="H16" i="1"/>
  <c r="F18" i="1"/>
  <c r="H18" i="1"/>
  <c r="I13" i="1"/>
  <c r="I10" i="1"/>
  <c r="I41" i="1"/>
  <c r="F9" i="1"/>
  <c r="I18" i="1" l="1"/>
  <c r="I16" i="1"/>
  <c r="H9" i="1" l="1"/>
  <c r="F19" i="1"/>
  <c r="F88" i="1" s="1"/>
  <c r="C17" i="5"/>
  <c r="C18" i="5" s="1"/>
  <c r="H19" i="1" l="1"/>
  <c r="H88" i="1" s="1"/>
  <c r="I9" i="1"/>
  <c r="I19" i="1" l="1"/>
  <c r="I88" i="1" s="1"/>
  <c r="C13" i="3" s="1"/>
  <c r="A5" i="3"/>
  <c r="A5" i="24" l="1"/>
  <c r="A3" i="24"/>
  <c r="A9" i="3" l="1"/>
  <c r="E16" i="24" l="1"/>
  <c r="E15" i="24"/>
  <c r="E14" i="24" l="1"/>
  <c r="E13" i="24" l="1"/>
  <c r="A9" i="24"/>
  <c r="E19" i="24" l="1"/>
  <c r="I19" i="17"/>
  <c r="B20" i="24" l="1"/>
  <c r="E13" i="3" l="1"/>
  <c r="E23" i="3" l="1"/>
  <c r="B24" i="3" l="1"/>
  <c r="C14" i="5"/>
  <c r="C15" i="5" s="1"/>
  <c r="C20" i="5" l="1"/>
  <c r="D9" i="5"/>
  <c r="B22" i="5" l="1"/>
  <c r="D14" i="5"/>
</calcChain>
</file>

<file path=xl/comments1.xml><?xml version="1.0" encoding="utf-8"?>
<comments xmlns="http://schemas.openxmlformats.org/spreadsheetml/2006/main">
  <authors>
    <author>Personal</author>
  </authors>
  <commentList>
    <comment ref="A22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Personal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Personal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<sst xmlns="http://schemas.openxmlformats.org/spreadsheetml/2006/main" count="574" uniqueCount="289">
  <si>
    <t xml:space="preserve"> </t>
  </si>
  <si>
    <t>กก.</t>
  </si>
  <si>
    <t>เมตร</t>
  </si>
  <si>
    <t>ลบ.ฟ.</t>
  </si>
  <si>
    <t>แบบเลขที่</t>
  </si>
  <si>
    <t>ลำดับที่</t>
  </si>
  <si>
    <t>รายการ</t>
  </si>
  <si>
    <t>ราคาวัสดุสิ่งของ</t>
  </si>
  <si>
    <t>ค่าแรงงาน</t>
  </si>
  <si>
    <t>หมายเหตุ</t>
  </si>
  <si>
    <t>จำนวน</t>
  </si>
  <si>
    <t>หน่วย</t>
  </si>
  <si>
    <t>ราคาต่อหน่วย</t>
  </si>
  <si>
    <t>จำนวนเงิน</t>
  </si>
  <si>
    <t>ตร.ม.</t>
  </si>
  <si>
    <t>และแรงงาน</t>
  </si>
  <si>
    <t>ค่าวัสดุ</t>
  </si>
  <si>
    <t>สรุปผลการประมาณราคาค่าก่อสร้าง</t>
  </si>
  <si>
    <t>ค่าวัสดุและค่าแรงงาน</t>
  </si>
  <si>
    <t>FACTOR F</t>
  </si>
  <si>
    <t>ค่าก่อสร้างทั้งหมด</t>
  </si>
  <si>
    <t>รวมเป็นเงิน (บาท)</t>
  </si>
  <si>
    <t>เงินล่วงหน้าจ่าย        0      %</t>
  </si>
  <si>
    <t>เงินประกันผลงานหัก        0       %</t>
  </si>
  <si>
    <t>ค่าภาษีมูลค่าเพิ่ม (VAT) 7 %</t>
  </si>
  <si>
    <t>ส่วนราชการ   กองออกแบบและพัฒนาอาคารสถานที่ มหาวิทยาลัยเทคโนโลยีราชมงคลศรีวิชัย</t>
  </si>
  <si>
    <t>บาท / ตร.ม.</t>
  </si>
  <si>
    <t xml:space="preserve">เฉลี่ยราคาประมาณ                  </t>
  </si>
  <si>
    <t>ค่าก่อสร้าง</t>
  </si>
  <si>
    <t>(บาท)</t>
  </si>
  <si>
    <t>(%)</t>
  </si>
  <si>
    <t>รวมทั้งสิ้น</t>
  </si>
  <si>
    <t>หน่วยงานออกแบบแปลนและรายการ กองออกแบบและพัฒนาอาคารสถานที่ มหาวิทยาลัยเทคโนโลยีราชมงคลศริวิชัย สงขลา</t>
  </si>
  <si>
    <t xml:space="preserve">ตัวอักษร  :   </t>
  </si>
  <si>
    <t>ค่างานต้นทุน</t>
  </si>
  <si>
    <r>
      <t xml:space="preserve">แบบเลขที่ </t>
    </r>
    <r>
      <rPr>
        <sz val="14"/>
        <rFont val="Angsana New"/>
        <family val="1"/>
      </rPr>
      <t xml:space="preserve">  -                                                                </t>
    </r>
    <r>
      <rPr>
        <b/>
        <sz val="14"/>
        <rFont val="Angsana New"/>
        <family val="1"/>
      </rPr>
      <t>รายการเลขที่  -</t>
    </r>
  </si>
  <si>
    <t>ใบแบ่งงวดงานและงวดเงิน</t>
  </si>
  <si>
    <t>ชุด</t>
  </si>
  <si>
    <t>แผ่น</t>
  </si>
  <si>
    <t xml:space="preserve">ขนาดเนื้อที่ก่อสร้างอาคาร                 </t>
  </si>
  <si>
    <t>ลบ.ม.</t>
  </si>
  <si>
    <t xml:space="preserve">                ใบรับรองแบบรูปและรายการ</t>
  </si>
  <si>
    <r>
      <t xml:space="preserve">๑.  </t>
    </r>
    <r>
      <rPr>
        <u/>
        <sz val="16"/>
        <rFont val="TH SarabunPSK"/>
        <family val="2"/>
      </rPr>
      <t>จำนวนแบบรูป</t>
    </r>
  </si>
  <si>
    <t>๑.๑  แบบสถาปัตยกรรม</t>
  </si>
  <si>
    <t>๑.๒  แบบวิศวกรรมโครงสร้าง</t>
  </si>
  <si>
    <t xml:space="preserve"> -</t>
  </si>
  <si>
    <t>๑.๓   แบบสุขาภิบาล</t>
  </si>
  <si>
    <t>๑.๔   แบบไฟฟ้า</t>
  </si>
  <si>
    <t>๑.๕   แบบระบบปรับอากาศ</t>
  </si>
  <si>
    <t>๑.๖   แบบรูปรวมทั้งหมด</t>
  </si>
  <si>
    <r>
      <t xml:space="preserve">๒.  </t>
    </r>
    <r>
      <rPr>
        <u/>
        <sz val="16"/>
        <rFont val="TH SarabunPSK"/>
        <family val="2"/>
      </rPr>
      <t>รายการประกอบแบบรูป</t>
    </r>
    <r>
      <rPr>
        <sz val="16"/>
        <rFont val="TH SarabunPSK"/>
        <family val="2"/>
      </rPr>
      <t xml:space="preserve">    </t>
    </r>
  </si>
  <si>
    <t>๒.๑  รายการก่อสร้างมาตรฐานหนึ่งเล่ม</t>
  </si>
  <si>
    <t>๒.๒ รายการก่อสร้างประกอบเฉพาะ</t>
  </si>
  <si>
    <t xml:space="preserve">        ๓.๑  แบบมาตรฐานที่เคยใช้มาแล้ว           </t>
  </si>
  <si>
    <r>
      <t xml:space="preserve">๓.  </t>
    </r>
    <r>
      <rPr>
        <u/>
        <sz val="16"/>
        <rFont val="TH SarabunPSK"/>
        <family val="2"/>
      </rPr>
      <t>ชนิดแบบรูป</t>
    </r>
  </si>
  <si>
    <t xml:space="preserve">        ๓.๒ แบบปรับปรุงจากแบบเก่า          </t>
  </si>
  <si>
    <t xml:space="preserve">        ๓.๓  แบบออกแบบใหม่            </t>
  </si>
  <si>
    <r>
      <t xml:space="preserve">๔.  </t>
    </r>
    <r>
      <rPr>
        <u/>
        <sz val="16"/>
        <rFont val="TH SarabunPSK"/>
        <family val="2"/>
      </rPr>
      <t>เนื้อที่อาคาร</t>
    </r>
  </si>
  <si>
    <t>๔.๑  เนื้อที่อาคาร</t>
  </si>
  <si>
    <t>๔.๒  เนื้อที่อาคารรวมทั้งหมด</t>
  </si>
  <si>
    <r>
      <t xml:space="preserve">๕.  </t>
    </r>
    <r>
      <rPr>
        <u/>
        <sz val="16"/>
        <rFont val="TH SarabunPSK"/>
        <family val="2"/>
      </rPr>
      <t>รายการครุภัณฑ์</t>
    </r>
  </si>
  <si>
    <t>๕.๑  ไม่มี</t>
  </si>
  <si>
    <r>
      <t xml:space="preserve">๖.  </t>
    </r>
    <r>
      <rPr>
        <u/>
        <sz val="16"/>
        <rFont val="TH SarabunPSK"/>
        <family val="2"/>
      </rPr>
      <t>รายการวัสดุ</t>
    </r>
  </si>
  <si>
    <t xml:space="preserve">ได้ตรวจรายการการใช้วัสดุในแบบรูปแล้ว มีระบุรายละเอียดหรือคุณลักษณะของรายการวัสดุ </t>
  </si>
  <si>
    <t>เป็นไปตามระเบียบสำนักนายกรัฐมนตรีว่าด้วยการพัสดุ</t>
  </si>
  <si>
    <r>
      <t xml:space="preserve">๗.  </t>
    </r>
    <r>
      <rPr>
        <u/>
        <sz val="16"/>
        <rFont val="TH SarabunPSK"/>
        <family val="2"/>
      </rPr>
      <t>การตรวจและรับรอง</t>
    </r>
  </si>
  <si>
    <t>ได้ตรวจแบบรูปและรายการจากข้อ ๑-๖ แล้ว ปรากฏว่าถูกต้องและมีครบ</t>
  </si>
  <si>
    <t xml:space="preserve">                                                         ลงชื่อ .......................................................</t>
  </si>
  <si>
    <t xml:space="preserve">                                                         ผู้อำนวยการกองออกแบบและพัฒนาอาคารสถานที่</t>
  </si>
  <si>
    <r>
      <t>ประมาณการโดย</t>
    </r>
    <r>
      <rPr>
        <sz val="16"/>
        <rFont val="Angsana New"/>
        <family val="1"/>
      </rPr>
      <t xml:space="preserve">    คณะกรรมการราคากลาง</t>
    </r>
  </si>
  <si>
    <t xml:space="preserve">                                        ..............................................................</t>
  </si>
  <si>
    <t>..............................................................                                     ..............................................................</t>
  </si>
  <si>
    <t xml:space="preserve">       กรรมการกำหนดราคากลาง                                                       กรรมการกำหนดราคากลาง</t>
  </si>
  <si>
    <t xml:space="preserve">                     </t>
  </si>
  <si>
    <t>เงื่อนไขการใช้ตาราง Factor F</t>
  </si>
  <si>
    <t>ภาษี</t>
  </si>
  <si>
    <t>มูลค่าเพิ่ม</t>
  </si>
  <si>
    <t xml:space="preserve">ขนาด              </t>
  </si>
  <si>
    <t>สรุปค่าครุภัณฑ์จัดซื้อ</t>
  </si>
  <si>
    <t>แบบสรุปราคากลางงานก่อสร้างอาคาร</t>
  </si>
  <si>
    <t>รวมทั้งสิ้นค่าก่อสร้างทั้งโครงการ</t>
  </si>
  <si>
    <t>สรุป</t>
  </si>
  <si>
    <t>ราคากลาง</t>
  </si>
  <si>
    <t>รวมราคางาน</t>
  </si>
  <si>
    <t xml:space="preserve">                  รายการเลขที่</t>
  </si>
  <si>
    <r>
      <t>การชำระเงิน    จำนวนงวด</t>
    </r>
    <r>
      <rPr>
        <b/>
        <sz val="16"/>
        <rFont val="Angsana New"/>
        <family val="1"/>
      </rPr>
      <t xml:space="preserve">  1</t>
    </r>
    <r>
      <rPr>
        <sz val="16"/>
        <rFont val="Angsana New"/>
        <family val="1"/>
      </rPr>
      <t xml:space="preserve">  งวด  ดังต่อไปนี้</t>
    </r>
  </si>
  <si>
    <r>
      <t>ฝ่าย/งาน</t>
    </r>
    <r>
      <rPr>
        <sz val="16"/>
        <rFont val="Angsana New"/>
        <family val="1"/>
      </rPr>
      <t xml:space="preserve"> หน่วยงานวิศวกรรม                                           </t>
    </r>
    <r>
      <rPr>
        <b/>
        <sz val="16"/>
        <rFont val="Angsana New"/>
        <family val="1"/>
      </rPr>
      <t>สำนัก/กอง</t>
    </r>
    <r>
      <rPr>
        <sz val="16"/>
        <rFont val="Angsana New"/>
        <family val="1"/>
      </rPr>
      <t xml:space="preserve"> ออกแบบและพัฒนาอาคารสถานที่                    </t>
    </r>
    <r>
      <rPr>
        <b/>
        <sz val="16"/>
        <rFont val="Angsana New"/>
        <family val="1"/>
      </rPr>
      <t>กรม</t>
    </r>
    <r>
      <rPr>
        <sz val="16"/>
        <rFont val="Angsana New"/>
        <family val="1"/>
      </rPr>
      <t xml:space="preserve">   มหาวิทยาลัยเทคโนโลยีราชมงคลศรีวิชัย </t>
    </r>
  </si>
  <si>
    <t>-</t>
  </si>
  <si>
    <t>งวดแรก,งวดสุดท้าย</t>
  </si>
  <si>
    <t>จะจ่ายเงินให้ทั้งหมด ของราคาตามที่ตกลงทำสํญญาว่าจ้าง เมื่อผู้รับจ้างได้ ทำงานแล้วเสร็จ</t>
  </si>
  <si>
    <t>ตามแบบรูปรายการ ทุกประการ เก็บเศษวัสดุ และสิ่งก่อสร้างต่างๆ ทำความสะอาดพื้นที่ และ</t>
  </si>
  <si>
    <t>นับจากวันที่ลงนามในสัญญาเป็นต้นไป</t>
  </si>
  <si>
    <t xml:space="preserve">                                     ลงชื่อ .......................................................ผู้แบ่งงวดงานและงวดเงิน</t>
  </si>
  <si>
    <t xml:space="preserve">   ( นายวีระวัจน์ นุ้ยแก้ว )</t>
  </si>
  <si>
    <r>
      <t>*หมายเหตุ</t>
    </r>
    <r>
      <rPr>
        <sz val="14"/>
        <rFont val="AngsanaUPC"/>
        <family val="1"/>
        <charset val="222"/>
      </rPr>
      <t xml:space="preserve">   การคิดเงินจากเปอร์เซ็นต์ในการแบ่งงวดงานสัญญาที่จะลงนาม  จะนับตั้งแต่ หลักพัน  </t>
    </r>
  </si>
  <si>
    <t xml:space="preserve">                     ลงไปรวมไว้ในงวดสุดท้าย</t>
  </si>
  <si>
    <t xml:space="preserve">                                                    ประธานกรรมการกำหนดราคากลาง</t>
  </si>
  <si>
    <t xml:space="preserve">                                                    ..............................................................</t>
  </si>
  <si>
    <t>ประเภทงานคุรุภัณฑ์</t>
  </si>
  <si>
    <t>งานครุภัณฑ์ (ปร.5ข)</t>
  </si>
  <si>
    <t>VAT 7%</t>
  </si>
  <si>
    <t xml:space="preserve">เจ้าของอาคาร  มหาวิทยาลัยเทคโนโลยีราชมงคลศรีวิชัย สงขลา </t>
  </si>
  <si>
    <t>หน่วยงาน     :   .....................มหาวิทยาลัยเทคโนโลยีราชมงคลศรีวิชัย............................................</t>
  </si>
  <si>
    <r>
      <t>กำหนดแล้วเสร็จ     ภายใน  45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 วัน</t>
    </r>
  </si>
  <si>
    <t>ดอกเบี้ยเงินกู้           6      %</t>
  </si>
  <si>
    <t>ลบ.ม</t>
  </si>
  <si>
    <t>งานฐานราก</t>
  </si>
  <si>
    <t>รวมงานฐานราก</t>
  </si>
  <si>
    <t>งานตอม่อ</t>
  </si>
  <si>
    <t>รวมงานตอม่อ</t>
  </si>
  <si>
    <t>งานคาน</t>
  </si>
  <si>
    <t>รวมงานคาน</t>
  </si>
  <si>
    <t>งานพื้น</t>
  </si>
  <si>
    <t>รวมงานพื้น</t>
  </si>
  <si>
    <t xml:space="preserve">งานโครงสร้างวิศวกรรม </t>
  </si>
  <si>
    <t>งานสถาปัตยกรรม</t>
  </si>
  <si>
    <t>เจ้าของอาคาร  มหาวิทยาลัยเทคโนโลยีราชมงคลศรีวิชัย วิทยาเขตทุ่งใหญ่</t>
  </si>
  <si>
    <r>
      <t>สถานที่ก่อสร้าง</t>
    </r>
    <r>
      <rPr>
        <sz val="14"/>
        <rFont val="Angsana New"/>
        <family val="1"/>
      </rPr>
      <t xml:space="preserve">  มหาวิทยาลัยเทคโนโลยีราชมงคลศรีวิชัย วิทยาเขตทุ่งใหญ่</t>
    </r>
  </si>
  <si>
    <t>งานขุดดินฐานรากและถมคืน</t>
  </si>
  <si>
    <t>ทรายหยาบ</t>
  </si>
  <si>
    <t>งานคอนกรีตหยาบ 1:3:5</t>
  </si>
  <si>
    <t>งานคอนกรีตโครงสร้าง 240 Ksc. ทรงลูกบาศก์</t>
  </si>
  <si>
    <t>ตะปู</t>
  </si>
  <si>
    <t>เหล็ก DB 16 mm.</t>
  </si>
  <si>
    <t>ลวดผูกเหล็ก</t>
  </si>
  <si>
    <t>เหล็ก RB 6 mm</t>
  </si>
  <si>
    <t>เหล็ก DB 12 mm</t>
  </si>
  <si>
    <t>เหล็ก RB 9 mm</t>
  </si>
  <si>
    <t>เหล็ก DB 12 mm.</t>
  </si>
  <si>
    <t>เหล็ก DB 20 mm</t>
  </si>
  <si>
    <t>เหล็ก DB 16 mm</t>
  </si>
  <si>
    <t>พื้นสำเร็จรูปท้องเรียบ LL 300 กก./ตร.ม.</t>
  </si>
  <si>
    <r>
      <t xml:space="preserve">WIREMESH </t>
    </r>
    <r>
      <rPr>
        <sz val="14"/>
        <rFont val="AngsanaUPC"/>
        <family val="1"/>
        <charset val="222"/>
      </rPr>
      <t>Ø</t>
    </r>
    <r>
      <rPr>
        <sz val="14"/>
        <rFont val="Angsana New"/>
        <family val="1"/>
      </rPr>
      <t xml:space="preserve"> 4.0มม. @0.20</t>
    </r>
  </si>
  <si>
    <t>คอนกรีตเททับหน้า หนาไม่น้อยกว่า 0.05 ม.</t>
  </si>
  <si>
    <t>งานเสา</t>
  </si>
  <si>
    <t>งานคานรับหลังคา</t>
  </si>
  <si>
    <t>รวมงานคานรับหลังคา</t>
  </si>
  <si>
    <t>งานบันได</t>
  </si>
  <si>
    <t>รวมงานบันได</t>
  </si>
  <si>
    <t>ไม้คร่าว ยึดแบบหล่อคอนกรีต</t>
  </si>
  <si>
    <t>ค้ำยัน</t>
  </si>
  <si>
    <t>ต้น</t>
  </si>
  <si>
    <t>ดินถมปรับระดับ</t>
  </si>
  <si>
    <t>รวม งานโครงสร้าง</t>
  </si>
  <si>
    <t>งานประตู - หน้าต่าง</t>
  </si>
  <si>
    <t>ติดตั้ง D1</t>
  </si>
  <si>
    <t>ติดตั้ง D2</t>
  </si>
  <si>
    <t>ติดตั้ง W1</t>
  </si>
  <si>
    <t>ติดตั้ง W2</t>
  </si>
  <si>
    <t>ติดตั้ง W3</t>
  </si>
  <si>
    <t>ติดตั้ง W4</t>
  </si>
  <si>
    <t>ติดตั้ง W5</t>
  </si>
  <si>
    <t>รวมงานประตู - หน้าต่าง</t>
  </si>
  <si>
    <t>งานผนังก่อฉาบ</t>
  </si>
  <si>
    <t>งานก่ออิฐมอญครึ่งแผ่น</t>
  </si>
  <si>
    <t>งานก่ออิฐมอญเต็มแผ่น</t>
  </si>
  <si>
    <t>งานฉาบโครงสร้าง</t>
  </si>
  <si>
    <t>เอ็น - ทับหลัง</t>
  </si>
  <si>
    <t>ม.</t>
  </si>
  <si>
    <t>งานจับเหลี่ยม</t>
  </si>
  <si>
    <t>รวมงานผนังก่อฉาบ</t>
  </si>
  <si>
    <t>งานวัสดุพื้น</t>
  </si>
  <si>
    <t xml:space="preserve">พื้นปูกระเบื้องแกรนิตโต้ ขนาด 0.60x0.60 ม. </t>
  </si>
  <si>
    <t xml:space="preserve">พื้นปูกระเบื้องแกรนิตโต้ ขนาด 0.20x1.00 ม. </t>
  </si>
  <si>
    <t>รวมงานวัสดุพื้น</t>
  </si>
  <si>
    <t>งานวัสดุบุผนัง</t>
  </si>
  <si>
    <t>รวมงานวัสดุบุผนัง</t>
  </si>
  <si>
    <t>งานฝ้าเพดาน</t>
  </si>
  <si>
    <t>ฝ้าเพดานยิปซั่มบอร์ดฉาบเรียบ หนา 9 มม. โครงเคร่าเหล็กชุบสังกะสี</t>
  </si>
  <si>
    <t>ฝ้าเพดานท้องพื้นฉาบเรียบ</t>
  </si>
  <si>
    <t>รวมงานฝ้าเพดาน</t>
  </si>
  <si>
    <t>งานทาสี</t>
  </si>
  <si>
    <t>งานทาสีภายใน</t>
  </si>
  <si>
    <t xml:space="preserve">งานทาสีภายนอก </t>
  </si>
  <si>
    <t xml:space="preserve">งานทาสีฝ้าเพดาน </t>
  </si>
  <si>
    <t>รวมงานทาสี</t>
  </si>
  <si>
    <t>งานหลังคา</t>
  </si>
  <si>
    <t>รวมงานหลังคา</t>
  </si>
  <si>
    <t>งานฉาบผนังภายใน</t>
  </si>
  <si>
    <t>งานฉาบผนังภายนอก</t>
  </si>
  <si>
    <t>ผนังผิวขัดมัน</t>
  </si>
  <si>
    <t>พื้นผิวทรายล้าง</t>
  </si>
  <si>
    <t>ผนังกรุไม้สำเร็จรูป ขนาด 15x300x0.8 ซ.ม. สีสักทอง</t>
  </si>
  <si>
    <t>ระแนงเหล็ก FIN-3</t>
  </si>
  <si>
    <t>รวมงานระแนง FIN-3</t>
  </si>
  <si>
    <t>ราวระเบียง</t>
  </si>
  <si>
    <t>รวมงานราวระเบียง</t>
  </si>
  <si>
    <t>รวมงานระแนง FIN-1</t>
  </si>
  <si>
    <t>ระแนงเหล็ก FIN-2</t>
  </si>
  <si>
    <t>รวมงานระแนง FIN-2</t>
  </si>
  <si>
    <t>โครงเหล็กรับหลังคา FIN-1</t>
  </si>
  <si>
    <t xml:space="preserve">ระแนงไม้เนื้อแข็ง 1"x2" </t>
  </si>
  <si>
    <t>หลังคา POLYCARBONATE แผ่นตันหนา 3 มม.</t>
  </si>
  <si>
    <t>รวมงานเสาโชว์-1</t>
  </si>
  <si>
    <t>รวมงานเสาโชว์-2</t>
  </si>
  <si>
    <t>รวมงานเสาโชว์-3</t>
  </si>
  <si>
    <t>MATAL SHEET FLASHING</t>
  </si>
  <si>
    <t>งานเสาโชว์-1 (จำนวน 2 ต้น)</t>
  </si>
  <si>
    <t>งานเสาโชว์-2 (จำนวน 3 ต้น)</t>
  </si>
  <si>
    <t>ตัว</t>
  </si>
  <si>
    <t>งานเสาโชว์-3 (จำนวน 2 ต้น)</t>
  </si>
  <si>
    <t xml:space="preserve">งานระบบไฟฟ้า </t>
  </si>
  <si>
    <t>โคมไฟดาวท์ไลท์ ขนาด 6 นิ้ว ขั้ว E27 หลอด LED 18 W</t>
  </si>
  <si>
    <t>โคมไฟติดผนังภายนอก ขั้ว E27 หลอด LED 10.5 W.</t>
  </si>
  <si>
    <t>โคมไฟระย้า ขั้ว E27 หลอด LED 18 W.</t>
  </si>
  <si>
    <t>โคมไฟติดผนังภายนอกทรงกระบอก ขั้ว E27 หลอด LED 7 W.</t>
  </si>
  <si>
    <t>สวิตซ์ทางเดียว 1 ตัว ต่อ ชุด แบบฝัง</t>
  </si>
  <si>
    <t>สวิตซ์ทางเดียว 3 ตัว ต่อ ชุด แบบฝัง</t>
  </si>
  <si>
    <t>สวิตซ์แสงแดด 5 A.,220 V.</t>
  </si>
  <si>
    <t>ตู้โหลดเซนเตอร์ 3 เฟส 30 วงจร พร้อมบัสบาร์</t>
  </si>
  <si>
    <t>ยูนิต</t>
  </si>
  <si>
    <t>MAIN MCCB 3P 75 AT/100AF IC 10 KA</t>
  </si>
  <si>
    <t xml:space="preserve"> BRANCH CB 3P 16AT/32AF IC 6 KA</t>
  </si>
  <si>
    <t xml:space="preserve"> BRANCH CB 1P 16AT/32AF IC 6 KA</t>
  </si>
  <si>
    <t xml:space="preserve"> BRANCH CB 1P 10AT/32AF IC 6 KA</t>
  </si>
  <si>
    <t>กิโลวัตต์ฮาวมิเตอร์ 3 เฟส 30(60) A.</t>
  </si>
  <si>
    <t>เต้ารับไฟฟ้าคู่ มีกราวด์ แบบฝัง</t>
  </si>
  <si>
    <t>ค่าติดตั้งพัดลมระบายอากาศ แบบฝังฝ้าไม่ต่อท่อระบายอากาศ 8 นิ้ว</t>
  </si>
  <si>
    <t>เครื่อง</t>
  </si>
  <si>
    <t>สาย THW 2.5 Sq.mm.</t>
  </si>
  <si>
    <t>สาย THW 4 Sq.mm.</t>
  </si>
  <si>
    <t>สาย THW 10 Sq.mm.</t>
  </si>
  <si>
    <t>สาย THW 16 Sq.mm.</t>
  </si>
  <si>
    <t>สาย THW 25 Sq.mm.</t>
  </si>
  <si>
    <t xml:space="preserve"> PVC CONDUIT 20 mm สีเหลือง ท่อนละ 4 เมตร</t>
  </si>
  <si>
    <t>ท่อน</t>
  </si>
  <si>
    <t>EMT CONDUIT 40mm. ท่อนละ 3 เมตร</t>
  </si>
  <si>
    <t>อุปกรณ์ประกอบท่อและอุปกรณ์อื่นๆ</t>
  </si>
  <si>
    <t>งาน</t>
  </si>
  <si>
    <t xml:space="preserve">รวมเงินงานระบบไฟฟ้า </t>
  </si>
  <si>
    <t>งานครุภัณฑ์</t>
  </si>
  <si>
    <t>พัดลมระบายอากาศ แบบฝังฝ้าไม่ต่อท่อระบายอากาศ 8 นิ้ว</t>
  </si>
  <si>
    <t>รวมเงินงานครุภัณฑ์</t>
  </si>
  <si>
    <t>เหล็กฉาก ขนาด 60x60x3.2  มม. (WT = 2.88Kg/m)</t>
  </si>
  <si>
    <t>เหล็กกล่อง 100x50x3.2 mm. (WT = 7.01Kg/m)</t>
  </si>
  <si>
    <t>เหล็กกล่อง 50x25x3.2 mm. (WT = 3.24 Kg/m)</t>
  </si>
  <si>
    <t>แผ่นเหล็ก 4" หนา 12 mm. (WT = 9.375 Kg/m)</t>
  </si>
  <si>
    <r>
      <t xml:space="preserve">เหล็ก </t>
    </r>
    <r>
      <rPr>
        <sz val="14"/>
        <rFont val="AngsanaUPC"/>
        <family val="1"/>
        <charset val="222"/>
      </rPr>
      <t>Ø</t>
    </r>
    <r>
      <rPr>
        <sz val="14"/>
        <rFont val="Angsana New"/>
        <family val="1"/>
      </rPr>
      <t xml:space="preserve"> 4" -4 mm. (WT = 10.88 Kg/m)</t>
    </r>
  </si>
  <si>
    <t>ไม้ตกแต่งสำเร็จรูป หนา 1"x 4"x3 m. (น้ำหนัก 9.20 Kg/แผ่น)</t>
  </si>
  <si>
    <t>ไม้ตกแต่งสำเร็จรูป หนา 1"x 4"x3m. (น้ำหนัก 9.20 Kg/แผ่น)</t>
  </si>
  <si>
    <t>น๊อตสแตนเลส Ø 9 mm.</t>
  </si>
  <si>
    <t>น๊อต Ø 9 mm.</t>
  </si>
  <si>
    <t>น๊อต  Ø 9 mm.</t>
  </si>
  <si>
    <t>เหล็กกล่อง 25x25x1.2 mm. (WT = 0.87 Kg/m)</t>
  </si>
  <si>
    <t>เหล็กแผ่น 2" ความหนา 12 mm. (WT = 4.71 Kg/m)</t>
  </si>
  <si>
    <t>PL- 0.075x0.075x6  mm. (WT = 0.265Kg/แผ่น)</t>
  </si>
  <si>
    <t>PL- 200x200x8mm. (WT = 2.51Kg/แผ่น)</t>
  </si>
  <si>
    <t>PL - 200x200x6 mm. (WT = 1.88 Kg/แผ่น)</t>
  </si>
  <si>
    <t>PL- 300x100x8 mm. (WT = 1.88 Kg/แผ่น)</t>
  </si>
  <si>
    <t>เหล็ก C-100x50x20x2.3 mm. (WT=4.06 Kg/m)</t>
  </si>
  <si>
    <r>
      <t xml:space="preserve">เหล็ก RB </t>
    </r>
    <r>
      <rPr>
        <sz val="14"/>
        <rFont val="AngsanaUPC"/>
        <family val="1"/>
        <charset val="222"/>
      </rPr>
      <t>Ø</t>
    </r>
    <r>
      <rPr>
        <sz val="14"/>
        <rFont val="Angsana New"/>
        <family val="1"/>
      </rPr>
      <t xml:space="preserve"> 15 mm. </t>
    </r>
  </si>
  <si>
    <t xml:space="preserve">รวม งานสถาปัตยกรรม </t>
  </si>
  <si>
    <t>โครงการ  อาคารแสดงและจำหน่ายผลิตภัณฑ์เกษตร 1 งาน ต.ทุ่งใหญ่ อ.ทุ่งใหญ่ จ.นครศรีธรรมราช</t>
  </si>
  <si>
    <r>
      <t xml:space="preserve">โครงการ </t>
    </r>
    <r>
      <rPr>
        <sz val="14"/>
        <rFont val="Angsana New"/>
        <family val="1"/>
      </rPr>
      <t>อาคารแสดงและจำหน่ายผลิตภัณฑ์เกษตร 1 งาน ต.ทุ่งใหญ่ อ.ทุ่งใหญ่ จ.นครศรีธรรมราช</t>
    </r>
  </si>
  <si>
    <t>งบประมาณ  :   ........................ ๑,๘๓๗,๖๐๐ บาท................................................................................</t>
  </si>
  <si>
    <r>
      <t xml:space="preserve">สถานที่ก่อสร้าง </t>
    </r>
    <r>
      <rPr>
        <sz val="16"/>
        <rFont val="Angsana New"/>
        <family val="1"/>
      </rPr>
      <t xml:space="preserve">มหาวิทยาลัยเทคโนโลยีราชมงคลศรีวิชัย วิทยาเขตทุ่งใหญ่ </t>
    </r>
  </si>
  <si>
    <t>อาคารแสดงและจำหน่ายผลิตภัณฑ์เกษตร</t>
  </si>
  <si>
    <t>ไม้แบบ (80%)</t>
  </si>
  <si>
    <t>ไม้แบบ (ค่าแรง)</t>
  </si>
  <si>
    <t>งานทาสีกันสนิม</t>
  </si>
  <si>
    <t>งานทาสีน้ำมัน</t>
  </si>
  <si>
    <t xml:space="preserve">                                                              (.นายวิศิษฏ์ศักดิ์ ทับยัง.)</t>
  </si>
  <si>
    <t xml:space="preserve">           (.นายวีระวัจน์ นุ้ยแก้ว.)                                                             (.นายอุดม นพรัตน์.)                           </t>
  </si>
  <si>
    <t>Factor F (1.3044)</t>
  </si>
  <si>
    <t>โครงการ. อาคารแสดงและจำหน่ายผลิตภัณฑ์เกษตร 1 งาน ต.ทุ่งใหญ่ อ.ทุ่งใหญ่ จ.นครศรีธรรมราช</t>
  </si>
  <si>
    <t xml:space="preserve">มหาวิทยาลัยเทคโนโลยีราชมงคลศรีวิชัย  </t>
  </si>
  <si>
    <t xml:space="preserve">เป็นที่เรียบร้อยแล้ว ให้แล้วเสร็จภายใน 45 วัน </t>
  </si>
  <si>
    <t>โครงเคร่าเหล็กชุบสังกะสี</t>
  </si>
  <si>
    <t>เหล็กกล่อง 50x50x2.0 mm. (WT = 2.91 Kg/m)</t>
  </si>
  <si>
    <t>เหล็กกล่อง 100x100x3.2 mm. (WT = 9.52 Kg/m)</t>
  </si>
  <si>
    <t>เหล็ก C-150x50x20x2.3 mm. (WT=4.96 Kg/m)</t>
  </si>
  <si>
    <t>เหล็กกล่อง 100x100x3.2 mm. (WT=9.52 Kg/m)</t>
  </si>
  <si>
    <t>ฝ้าเพดานไฟเบอร์ซีเมนต์เซาะร่อง 3" ระบายอากาศ ขนาด 60 x 120 x 0.4 ซม.</t>
  </si>
  <si>
    <t>เชิงชายสำเร็จรูป ขนาด 20x400x1.6 มม.  สีสักทอง</t>
  </si>
  <si>
    <t>หลังคาเหล็กรีดลอน หนาไม่น้อยกว่า 0.5 มม. กรุ PE FOAM หนา 5 มม.</t>
  </si>
  <si>
    <t>แผ่น PLASTWOOD หนา 15 มม.</t>
  </si>
  <si>
    <r>
      <t xml:space="preserve">BOLT </t>
    </r>
    <r>
      <rPr>
        <sz val="14"/>
        <rFont val="AngsanaUPC"/>
        <family val="1"/>
        <charset val="222"/>
      </rPr>
      <t>Ø</t>
    </r>
    <r>
      <rPr>
        <sz val="14"/>
        <rFont val="Angsana New"/>
        <family val="1"/>
      </rPr>
      <t xml:space="preserve"> 0.12 m. ความยาว 6 "</t>
    </r>
  </si>
  <si>
    <r>
      <t xml:space="preserve">BOLT </t>
    </r>
    <r>
      <rPr>
        <sz val="14"/>
        <rFont val="AngsanaUPC"/>
        <family val="1"/>
        <charset val="222"/>
      </rPr>
      <t>Ø</t>
    </r>
    <r>
      <rPr>
        <sz val="14"/>
        <rFont val="Angsana New"/>
        <family val="1"/>
      </rPr>
      <t xml:space="preserve"> 0.12 m. ความยาว 6"</t>
    </r>
  </si>
  <si>
    <t>งานราวจับสแตนเลส</t>
  </si>
  <si>
    <t>รวม งานราวจับสแตนเลส</t>
  </si>
  <si>
    <t>ประมาณราคาตามแบบ ปร. 4                                           จำนวน    12      แผ่น</t>
  </si>
  <si>
    <t>ประมาณราคาตามแบบ ปร. 4                                           จำนวน     12      แผ่น</t>
  </si>
  <si>
    <r>
      <t xml:space="preserve">งานราวจับสแตนเลส </t>
    </r>
    <r>
      <rPr>
        <sz val="14"/>
        <color rgb="FFFF0000"/>
        <rFont val="AngsanaUPC"/>
        <family val="1"/>
      </rPr>
      <t>Ø</t>
    </r>
    <r>
      <rPr>
        <sz val="14"/>
        <color rgb="FFFF0000"/>
        <rFont val="Angsana New"/>
        <family val="1"/>
      </rPr>
      <t xml:space="preserve"> 0.05 ม.</t>
    </r>
  </si>
  <si>
    <t xml:space="preserve">          ราคากลางเห็นชอบเมื่อวันที่  14  พฤศจิกายน  2559         </t>
  </si>
  <si>
    <r>
      <rPr>
        <b/>
        <sz val="14"/>
        <rFont val="Angsana New"/>
        <family val="1"/>
      </rPr>
      <t>แบบ ปร. 4 และ ปร. 5  ที่แนบ</t>
    </r>
    <r>
      <rPr>
        <sz val="14"/>
        <rFont val="Angsana New"/>
        <family val="1"/>
      </rPr>
      <t xml:space="preserve">                                     จำนวน     14         แผ่น</t>
    </r>
  </si>
  <si>
    <r>
      <t>ประมาณการเมื่อ</t>
    </r>
    <r>
      <rPr>
        <sz val="14"/>
        <rFont val="Angsana New"/>
        <family val="1"/>
      </rPr>
      <t xml:space="preserve">  วันที่  31 ตุลาคม  พ.ศ. 2559            ราคากลางเห็นชอบเมื่อวันที่  14  พฤศจิกายน  2559      </t>
    </r>
  </si>
  <si>
    <t>โครงการ      :  ……...... โครงการ อาคารแสดงและจำหน่ายผลิตภัณฑ์เกษตร ๑ งาน ต.ทุ่งใหญ่ อ.ทุ่งใหญ่ จ.นครศรีธรรมราช ............</t>
  </si>
  <si>
    <r>
      <t>รายการประมาณราคาก่อสร้างโครงการ</t>
    </r>
    <r>
      <rPr>
        <sz val="16"/>
        <rFont val="Angsana New"/>
        <family val="1"/>
      </rPr>
      <t xml:space="preserve"> อาคารแสดงและจำหน่ายผลิตภัณฑ์เกษตร 1 งาน ต.ทุ่งใหญ่ อ.ทุ่งใหญ่ จ.นครศรีธรรมราช</t>
    </r>
  </si>
  <si>
    <t xml:space="preserve">เมื่อวันที่  31  ตุลาคม  พ.ศ. 2559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</si>
</sst>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87" formatCode="_(* #,##0.00_);_(* \(#,##0.00\);_(* &quot;-&quot;??_);_(@_)"/>
    <numFmt numFmtId="189" formatCode="0.0000"/>
    <numFmt numFmtId="195" formatCode="_-* #,##0.00000_-;\-* #,##0.00000_-;_-* &quot;-&quot;?????_-;_-@_-"/>
    <numFmt numFmtId="196" formatCode="t0.00E+00"/>
    <numFmt numFmtId="197" formatCode="&quot;฿&quot;t#,##0_);\(&quot;฿&quot;t#,##0\)"/>
    <numFmt numFmtId="198" formatCode="m/d/yy\ hh:mm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#,##0.0_);\(#,##0.0\)"/>
    <numFmt numFmtId="202" formatCode="0.0&quot;  &quot;"/>
    <numFmt numFmtId="203" formatCode="#,##0.000000&quot; &quot;"/>
    <numFmt numFmtId="204" formatCode="#,###&quot;   &quot;"/>
    <numFmt numFmtId="205" formatCode="General_)"/>
    <numFmt numFmtId="206" formatCode="dd\-mm\-yy"/>
  </numFmts>
  <fonts count="90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name val="Angsana New"/>
      <family val="1"/>
    </font>
    <font>
      <sz val="14"/>
      <name val="SV Rojchana"/>
    </font>
    <font>
      <sz val="14"/>
      <name val="AngsanaUPC"/>
      <family val="1"/>
      <charset val="22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 ?????"/>
      <family val="3"/>
      <charset val="255"/>
    </font>
    <font>
      <sz val="11"/>
      <name val="??"/>
      <family val="1"/>
    </font>
    <font>
      <sz val="12"/>
      <name val="Helv"/>
      <family val="2"/>
    </font>
    <font>
      <sz val="10"/>
      <name val="Arial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4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sz val="14"/>
      <name val="AngsanaUPC"/>
      <family val="1"/>
      <charset val="222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sz val="18"/>
      <name val="Angsana New"/>
      <family val="1"/>
    </font>
    <font>
      <sz val="10"/>
      <name val="TH SarabunPSK"/>
      <family val="2"/>
    </font>
    <font>
      <sz val="10"/>
      <name val="Angsana New"/>
      <family val="1"/>
    </font>
    <font>
      <u/>
      <sz val="16"/>
      <name val="TH SarabunPSK"/>
      <family val="2"/>
    </font>
    <font>
      <sz val="8"/>
      <name val="TH SarabunPSK"/>
      <family val="2"/>
    </font>
    <font>
      <sz val="8"/>
      <name val="Angsana New"/>
      <family val="1"/>
    </font>
    <font>
      <sz val="10"/>
      <name val="Arial"/>
      <family val="2"/>
    </font>
    <font>
      <sz val="14"/>
      <name val="AngsanaUPC"/>
      <family val="1"/>
    </font>
    <font>
      <sz val="14"/>
      <name val="CordiaUPC"/>
      <family val="2"/>
      <charset val="222"/>
    </font>
    <font>
      <sz val="14"/>
      <color rgb="FFFF0000"/>
      <name val="AngsanaUPC"/>
      <family val="1"/>
    </font>
    <font>
      <sz val="14"/>
      <color indexed="8"/>
      <name val="TH SarabunPSK"/>
      <family val="2"/>
      <charset val="222"/>
    </font>
    <font>
      <sz val="12"/>
      <name val="Angsana New"/>
      <family val="1"/>
    </font>
    <font>
      <b/>
      <sz val="16"/>
      <name val="AngsanaUPC"/>
      <family val="1"/>
    </font>
    <font>
      <sz val="10"/>
      <name val="Arial"/>
      <family val="2"/>
    </font>
    <font>
      <b/>
      <sz val="16"/>
      <name val="AngsanaUPC"/>
      <family val="1"/>
      <charset val="222"/>
    </font>
    <font>
      <b/>
      <u/>
      <sz val="14"/>
      <name val="AngsanaUPC"/>
      <family val="1"/>
      <charset val="222"/>
    </font>
    <font>
      <sz val="11"/>
      <name val="Arial"/>
      <family val="2"/>
    </font>
    <font>
      <sz val="14"/>
      <color rgb="FFFF0000"/>
      <name val="Angsana New"/>
      <family val="1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8"/>
      <color rgb="FFFF0000"/>
      <name val="TH SarabunPSK"/>
      <family val="2"/>
    </font>
    <font>
      <sz val="18"/>
      <color rgb="FFFF0000"/>
      <name val="Angsana New"/>
      <family val="1"/>
    </font>
    <font>
      <sz val="10"/>
      <color rgb="FFFF0000"/>
      <name val="Arial"/>
      <family val="2"/>
    </font>
    <font>
      <b/>
      <sz val="14"/>
      <color rgb="FFFF0000"/>
      <name val="Angsana New"/>
      <family val="1"/>
    </font>
    <font>
      <b/>
      <sz val="14"/>
      <name val="AngsanaUPC"/>
      <family val="1"/>
    </font>
    <font>
      <u/>
      <sz val="10"/>
      <color theme="10"/>
      <name val="Arial"/>
      <family val="2"/>
    </font>
    <font>
      <sz val="11"/>
      <color theme="1"/>
      <name val="Tahoma"/>
      <family val="2"/>
      <scheme val="minor"/>
    </font>
    <font>
      <sz val="10"/>
      <color rgb="FFFF0000"/>
      <name val="Angsana New"/>
      <family val="1"/>
    </font>
    <font>
      <sz val="14"/>
      <color rgb="FFC00000"/>
      <name val="Angsana New"/>
      <family val="1"/>
    </font>
    <font>
      <u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18" fillId="0" borderId="0">
      <alignment vertical="center"/>
    </xf>
    <xf numFmtId="205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" fontId="20" fillId="0" borderId="0" applyFont="0" applyFill="0" applyBorder="0" applyAlignment="0" applyProtection="0"/>
    <xf numFmtId="197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204" fontId="19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3" fillId="0" borderId="0"/>
    <xf numFmtId="0" fontId="24" fillId="0" borderId="0"/>
    <xf numFmtId="9" fontId="25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26" fillId="17" borderId="1">
      <alignment horizontal="centerContinuous" vertical="top"/>
    </xf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50" fillId="4" borderId="0" applyNumberFormat="0" applyBorder="0" applyAlignment="0" applyProtection="0"/>
    <xf numFmtId="0" fontId="25" fillId="0" borderId="0" applyFill="0" applyBorder="0" applyAlignment="0"/>
    <xf numFmtId="201" fontId="20" fillId="0" borderId="0" applyFill="0" applyBorder="0" applyAlignment="0"/>
    <xf numFmtId="0" fontId="27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199" fontId="19" fillId="0" borderId="0" applyFill="0" applyBorder="0" applyAlignment="0"/>
    <xf numFmtId="202" fontId="21" fillId="0" borderId="0" applyFill="0" applyBorder="0" applyAlignment="0"/>
    <xf numFmtId="201" fontId="20" fillId="0" borderId="0" applyFill="0" applyBorder="0" applyAlignment="0"/>
    <xf numFmtId="0" fontId="40" fillId="22" borderId="2" applyNumberFormat="0" applyAlignment="0" applyProtection="0"/>
    <xf numFmtId="0" fontId="44" fillId="23" borderId="3" applyNumberFormat="0" applyAlignment="0" applyProtection="0"/>
    <xf numFmtId="43" fontId="1" fillId="0" borderId="0" applyFont="0" applyFill="0" applyBorder="0" applyAlignment="0" applyProtection="0"/>
    <xf numFmtId="199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17" borderId="1">
      <alignment horizontal="centerContinuous" vertical="top"/>
    </xf>
    <xf numFmtId="201" fontId="20" fillId="0" borderId="0" applyFont="0" applyFill="0" applyBorder="0" applyAlignment="0" applyProtection="0"/>
    <xf numFmtId="14" fontId="29" fillId="0" borderId="0" applyFill="0" applyBorder="0" applyAlignment="0"/>
    <xf numFmtId="15" fontId="30" fillId="24" borderId="0">
      <alignment horizontal="centerContinuous"/>
    </xf>
    <xf numFmtId="199" fontId="19" fillId="0" borderId="0" applyFill="0" applyBorder="0" applyAlignment="0"/>
    <xf numFmtId="201" fontId="20" fillId="0" borderId="0" applyFill="0" applyBorder="0" applyAlignment="0"/>
    <xf numFmtId="199" fontId="19" fillId="0" borderId="0" applyFill="0" applyBorder="0" applyAlignment="0"/>
    <xf numFmtId="202" fontId="21" fillId="0" borderId="0" applyFill="0" applyBorder="0" applyAlignment="0"/>
    <xf numFmtId="201" fontId="20" fillId="0" borderId="0" applyFill="0" applyBorder="0" applyAlignment="0"/>
    <xf numFmtId="0" fontId="42" fillId="0" borderId="0" applyNumberFormat="0" applyFill="0" applyBorder="0" applyAlignment="0" applyProtection="0"/>
    <xf numFmtId="0" fontId="46" fillId="5" borderId="0" applyNumberFormat="0" applyBorder="0" applyAlignment="0" applyProtection="0"/>
    <xf numFmtId="38" fontId="31" fillId="17" borderId="0" applyNumberFormat="0" applyBorder="0" applyAlignment="0" applyProtection="0"/>
    <xf numFmtId="0" fontId="32" fillId="0" borderId="4" applyNumberFormat="0" applyAlignment="0" applyProtection="0">
      <alignment horizontal="left" vertical="center"/>
    </xf>
    <xf numFmtId="0" fontId="32" fillId="0" borderId="5">
      <alignment horizontal="left" vertical="center"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7" fillId="8" borderId="2" applyNumberFormat="0" applyAlignment="0" applyProtection="0"/>
    <xf numFmtId="10" fontId="31" fillId="25" borderId="9" applyNumberFormat="0" applyBorder="0" applyAlignment="0" applyProtection="0"/>
    <xf numFmtId="199" fontId="19" fillId="0" borderId="0" applyFill="0" applyBorder="0" applyAlignment="0"/>
    <xf numFmtId="201" fontId="20" fillId="0" borderId="0" applyFill="0" applyBorder="0" applyAlignment="0"/>
    <xf numFmtId="199" fontId="19" fillId="0" borderId="0" applyFill="0" applyBorder="0" applyAlignment="0"/>
    <xf numFmtId="202" fontId="21" fillId="0" borderId="0" applyFill="0" applyBorder="0" applyAlignment="0"/>
    <xf numFmtId="201" fontId="20" fillId="0" borderId="0" applyFill="0" applyBorder="0" applyAlignment="0"/>
    <xf numFmtId="0" fontId="45" fillId="0" borderId="10" applyNumberFormat="0" applyFill="0" applyAlignment="0" applyProtection="0"/>
    <xf numFmtId="0" fontId="48" fillId="26" borderId="0" applyNumberFormat="0" applyBorder="0" applyAlignment="0" applyProtection="0"/>
    <xf numFmtId="195" fontId="33" fillId="0" borderId="0"/>
    <xf numFmtId="0" fontId="25" fillId="0" borderId="0"/>
    <xf numFmtId="0" fontId="66" fillId="27" borderId="11" applyNumberFormat="0" applyFont="0" applyAlignment="0" applyProtection="0"/>
    <xf numFmtId="0" fontId="51" fillId="22" borderId="12" applyNumberFormat="0" applyAlignment="0" applyProtection="0"/>
    <xf numFmtId="0" fontId="34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0" fontId="16" fillId="0" borderId="0" applyFont="0" applyFill="0" applyBorder="0" applyAlignment="0" applyProtection="0"/>
    <xf numFmtId="199" fontId="19" fillId="0" borderId="0" applyFill="0" applyBorder="0" applyAlignment="0"/>
    <xf numFmtId="201" fontId="20" fillId="0" borderId="0" applyFill="0" applyBorder="0" applyAlignment="0"/>
    <xf numFmtId="199" fontId="19" fillId="0" borderId="0" applyFill="0" applyBorder="0" applyAlignment="0"/>
    <xf numFmtId="202" fontId="21" fillId="0" borderId="0" applyFill="0" applyBorder="0" applyAlignment="0"/>
    <xf numFmtId="201" fontId="20" fillId="0" borderId="0" applyFill="0" applyBorder="0" applyAlignment="0"/>
    <xf numFmtId="0" fontId="35" fillId="2" borderId="0"/>
    <xf numFmtId="49" fontId="29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43" fillId="0" borderId="0" applyNumberFormat="0" applyFill="0" applyBorder="0" applyAlignment="0" applyProtection="0"/>
    <xf numFmtId="0" fontId="49" fillId="0" borderId="13" applyNumberFormat="0" applyFill="0" applyAlignment="0" applyProtection="0"/>
    <xf numFmtId="198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25" fillId="0" borderId="0"/>
    <xf numFmtId="0" fontId="68" fillId="0" borderId="0"/>
    <xf numFmtId="0" fontId="4" fillId="0" borderId="0"/>
    <xf numFmtId="0" fontId="37" fillId="0" borderId="0"/>
    <xf numFmtId="0" fontId="37" fillId="0" borderId="0"/>
    <xf numFmtId="0" fontId="3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96" fontId="21" fillId="0" borderId="0" applyFont="0" applyFill="0" applyBorder="0" applyAlignment="0" applyProtection="0"/>
    <xf numFmtId="9" fontId="1" fillId="2" borderId="0"/>
    <xf numFmtId="0" fontId="1" fillId="0" borderId="0" applyFill="0" applyBorder="0" applyAlignment="0"/>
    <xf numFmtId="199" fontId="19" fillId="0" borderId="0" applyFill="0" applyBorder="0" applyAlignment="0"/>
    <xf numFmtId="202" fontId="21" fillId="0" borderId="0" applyFill="0" applyBorder="0" applyAlignment="0"/>
    <xf numFmtId="19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19" fillId="0" borderId="0" applyFill="0" applyBorder="0" applyAlignment="0"/>
    <xf numFmtId="199" fontId="19" fillId="0" borderId="0" applyFill="0" applyBorder="0" applyAlignment="0"/>
    <xf numFmtId="202" fontId="21" fillId="0" borderId="0" applyFill="0" applyBorder="0" applyAlignment="0"/>
    <xf numFmtId="38" fontId="2" fillId="17" borderId="0" applyNumberFormat="0" applyBorder="0" applyAlignment="0" applyProtection="0"/>
    <xf numFmtId="10" fontId="2" fillId="25" borderId="9" applyNumberFormat="0" applyBorder="0" applyAlignment="0" applyProtection="0"/>
    <xf numFmtId="199" fontId="19" fillId="0" borderId="0" applyFill="0" applyBorder="0" applyAlignment="0"/>
    <xf numFmtId="199" fontId="19" fillId="0" borderId="0" applyFill="0" applyBorder="0" applyAlignment="0"/>
    <xf numFmtId="202" fontId="21" fillId="0" borderId="0" applyFill="0" applyBorder="0" applyAlignment="0"/>
    <xf numFmtId="19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19" fillId="0" borderId="0" applyFill="0" applyBorder="0" applyAlignment="0"/>
    <xf numFmtId="199" fontId="19" fillId="0" borderId="0" applyFill="0" applyBorder="0" applyAlignment="0"/>
    <xf numFmtId="202" fontId="21" fillId="0" borderId="0" applyFill="0" applyBorder="0" applyAlignment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27" borderId="11" applyNumberFormat="0" applyFon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5" fillId="0" borderId="0" applyNumberFormat="0" applyFill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71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/>
    <xf numFmtId="0" fontId="0" fillId="0" borderId="0" xfId="0" applyBorder="1"/>
    <xf numFmtId="0" fontId="0" fillId="0" borderId="0" xfId="0" applyFill="1"/>
    <xf numFmtId="0" fontId="8" fillId="0" borderId="0" xfId="119" applyFont="1"/>
    <xf numFmtId="0" fontId="8" fillId="0" borderId="14" xfId="119" applyFont="1" applyBorder="1"/>
    <xf numFmtId="43" fontId="8" fillId="0" borderId="14" xfId="119" applyNumberFormat="1" applyFont="1" applyBorder="1"/>
    <xf numFmtId="0" fontId="8" fillId="0" borderId="15" xfId="119" applyFont="1" applyBorder="1"/>
    <xf numFmtId="0" fontId="8" fillId="0" borderId="16" xfId="119" applyFont="1" applyBorder="1"/>
    <xf numFmtId="0" fontId="8" fillId="0" borderId="0" xfId="118" applyFont="1"/>
    <xf numFmtId="0" fontId="9" fillId="0" borderId="17" xfId="118" applyFont="1" applyBorder="1"/>
    <xf numFmtId="0" fontId="8" fillId="0" borderId="17" xfId="118" applyFont="1" applyBorder="1"/>
    <xf numFmtId="0" fontId="8" fillId="0" borderId="18" xfId="118" applyFont="1" applyBorder="1" applyAlignment="1">
      <alignment horizontal="center"/>
    </xf>
    <xf numFmtId="0" fontId="8" fillId="0" borderId="19" xfId="118" applyFont="1" applyBorder="1" applyAlignment="1">
      <alignment horizontal="center"/>
    </xf>
    <xf numFmtId="0" fontId="8" fillId="0" borderId="14" xfId="118" applyFont="1" applyBorder="1" applyAlignment="1">
      <alignment horizontal="center"/>
    </xf>
    <xf numFmtId="0" fontId="10" fillId="0" borderId="0" xfId="118" applyFont="1"/>
    <xf numFmtId="2" fontId="8" fillId="0" borderId="14" xfId="118" applyNumberFormat="1" applyFont="1" applyFill="1" applyBorder="1" applyAlignment="1">
      <alignment horizontal="center"/>
    </xf>
    <xf numFmtId="0" fontId="11" fillId="0" borderId="0" xfId="0" applyFont="1"/>
    <xf numFmtId="0" fontId="8" fillId="0" borderId="21" xfId="119" applyFont="1" applyBorder="1"/>
    <xf numFmtId="0" fontId="8" fillId="0" borderId="18" xfId="119" applyFont="1" applyBorder="1" applyAlignment="1">
      <alignment horizontal="center"/>
    </xf>
    <xf numFmtId="0" fontId="8" fillId="0" borderId="21" xfId="119" applyFont="1" applyBorder="1" applyAlignment="1">
      <alignment horizontal="center"/>
    </xf>
    <xf numFmtId="0" fontId="9" fillId="2" borderId="15" xfId="119" applyFont="1" applyFill="1" applyBorder="1" applyAlignment="1">
      <alignment horizontal="center"/>
    </xf>
    <xf numFmtId="43" fontId="8" fillId="2" borderId="15" xfId="119" applyNumberFormat="1" applyFont="1" applyFill="1" applyBorder="1"/>
    <xf numFmtId="0" fontId="8" fillId="2" borderId="22" xfId="119" applyFont="1" applyFill="1" applyBorder="1"/>
    <xf numFmtId="0" fontId="8" fillId="0" borderId="14" xfId="119" applyFont="1" applyBorder="1" applyAlignment="1">
      <alignment horizontal="center"/>
    </xf>
    <xf numFmtId="0" fontId="8" fillId="0" borderId="23" xfId="119" applyFont="1" applyBorder="1"/>
    <xf numFmtId="0" fontId="8" fillId="0" borderId="0" xfId="119" applyFont="1" applyBorder="1"/>
    <xf numFmtId="0" fontId="8" fillId="0" borderId="0" xfId="119" applyFont="1" applyBorder="1" applyAlignment="1">
      <alignment horizontal="right"/>
    </xf>
    <xf numFmtId="0" fontId="14" fillId="0" borderId="0" xfId="0" applyFont="1" applyFill="1"/>
    <xf numFmtId="0" fontId="9" fillId="0" borderId="5" xfId="119" applyFont="1" applyBorder="1" applyAlignment="1"/>
    <xf numFmtId="0" fontId="9" fillId="0" borderId="1" xfId="119" applyFont="1" applyBorder="1" applyAlignment="1"/>
    <xf numFmtId="0" fontId="9" fillId="0" borderId="25" xfId="119" applyFont="1" applyBorder="1" applyAlignment="1"/>
    <xf numFmtId="187" fontId="0" fillId="0" borderId="0" xfId="0" applyNumberFormat="1"/>
    <xf numFmtId="0" fontId="8" fillId="0" borderId="5" xfId="119" applyFont="1" applyBorder="1"/>
    <xf numFmtId="43" fontId="8" fillId="0" borderId="5" xfId="51" applyFont="1" applyBorder="1"/>
    <xf numFmtId="0" fontId="8" fillId="0" borderId="5" xfId="119" applyFont="1" applyBorder="1" applyAlignment="1">
      <alignment horizontal="right"/>
    </xf>
    <xf numFmtId="0" fontId="8" fillId="0" borderId="1" xfId="119" applyFont="1" applyBorder="1"/>
    <xf numFmtId="43" fontId="8" fillId="0" borderId="0" xfId="51" applyFont="1" applyBorder="1"/>
    <xf numFmtId="43" fontId="0" fillId="0" borderId="0" xfId="51" applyFont="1" applyFill="1"/>
    <xf numFmtId="0" fontId="6" fillId="0" borderId="21" xfId="0" applyFont="1" applyFill="1" applyBorder="1" applyAlignment="1">
      <alignment horizontal="center"/>
    </xf>
    <xf numFmtId="0" fontId="7" fillId="0" borderId="0" xfId="120" applyFont="1" applyAlignment="1">
      <alignment horizontal="center"/>
    </xf>
    <xf numFmtId="0" fontId="7" fillId="0" borderId="0" xfId="120" applyFont="1"/>
    <xf numFmtId="0" fontId="7" fillId="0" borderId="0" xfId="120" applyFont="1" applyAlignment="1">
      <alignment horizontal="left"/>
    </xf>
    <xf numFmtId="43" fontId="8" fillId="0" borderId="14" xfId="0" applyNumberFormat="1" applyFont="1" applyBorder="1"/>
    <xf numFmtId="0" fontId="56" fillId="0" borderId="0" xfId="114" applyFont="1"/>
    <xf numFmtId="0" fontId="57" fillId="0" borderId="0" xfId="114" applyFont="1"/>
    <xf numFmtId="0" fontId="8" fillId="0" borderId="0" xfId="114" applyFont="1"/>
    <xf numFmtId="0" fontId="58" fillId="0" borderId="0" xfId="114" applyFont="1" applyAlignment="1">
      <alignment horizontal="center"/>
    </xf>
    <xf numFmtId="0" fontId="56" fillId="0" borderId="0" xfId="114" applyFont="1" applyAlignment="1">
      <alignment horizontal="center"/>
    </xf>
    <xf numFmtId="0" fontId="59" fillId="0" borderId="0" xfId="114" applyFont="1"/>
    <xf numFmtId="0" fontId="60" fillId="0" borderId="0" xfId="114" applyFont="1"/>
    <xf numFmtId="0" fontId="61" fillId="0" borderId="0" xfId="114" applyFont="1"/>
    <xf numFmtId="0" fontId="62" fillId="0" borderId="0" xfId="114" applyFont="1"/>
    <xf numFmtId="0" fontId="7" fillId="0" borderId="0" xfId="114" applyFont="1"/>
    <xf numFmtId="59" fontId="56" fillId="0" borderId="0" xfId="114" applyNumberFormat="1" applyFont="1" applyAlignment="1">
      <alignment horizontal="center"/>
    </xf>
    <xf numFmtId="0" fontId="64" fillId="0" borderId="0" xfId="114" applyFont="1"/>
    <xf numFmtId="0" fontId="65" fillId="0" borderId="0" xfId="114" applyFont="1"/>
    <xf numFmtId="59" fontId="60" fillId="0" borderId="0" xfId="114" applyNumberFormat="1" applyFont="1"/>
    <xf numFmtId="59" fontId="7" fillId="0" borderId="0" xfId="114" applyNumberFormat="1" applyFont="1"/>
    <xf numFmtId="0" fontId="37" fillId="0" borderId="0" xfId="114"/>
    <xf numFmtId="59" fontId="37" fillId="0" borderId="0" xfId="114" applyNumberFormat="1"/>
    <xf numFmtId="0" fontId="63" fillId="0" borderId="0" xfId="114" applyFont="1" applyAlignment="1">
      <alignment horizontal="left" indent="8"/>
    </xf>
    <xf numFmtId="0" fontId="56" fillId="0" borderId="0" xfId="114" applyFont="1" applyAlignment="1">
      <alignment horizontal="left" indent="15"/>
    </xf>
    <xf numFmtId="0" fontId="7" fillId="0" borderId="0" xfId="114" applyFont="1" applyAlignment="1">
      <alignment horizontal="center"/>
    </xf>
    <xf numFmtId="0" fontId="19" fillId="0" borderId="0" xfId="0" applyFont="1"/>
    <xf numFmtId="0" fontId="67" fillId="0" borderId="0" xfId="0" applyFont="1"/>
    <xf numFmtId="0" fontId="5" fillId="0" borderId="0" xfId="121"/>
    <xf numFmtId="43" fontId="5" fillId="0" borderId="0" xfId="121" applyNumberFormat="1"/>
    <xf numFmtId="0" fontId="19" fillId="0" borderId="0" xfId="0" applyFont="1" applyAlignment="1"/>
    <xf numFmtId="0" fontId="9" fillId="0" borderId="38" xfId="118" applyFont="1" applyBorder="1" applyAlignment="1">
      <alignment horizontal="left"/>
    </xf>
    <xf numFmtId="43" fontId="8" fillId="0" borderId="26" xfId="0" applyNumberFormat="1" applyFont="1" applyBorder="1"/>
    <xf numFmtId="2" fontId="8" fillId="0" borderId="27" xfId="118" applyNumberFormat="1" applyFont="1" applyFill="1" applyBorder="1" applyAlignment="1">
      <alignment horizontal="center"/>
    </xf>
    <xf numFmtId="0" fontId="8" fillId="0" borderId="15" xfId="118" applyFont="1" applyFill="1" applyBorder="1"/>
    <xf numFmtId="0" fontId="8" fillId="0" borderId="15" xfId="0" applyFont="1" applyFill="1" applyBorder="1" applyAlignment="1">
      <alignment horizontal="center"/>
    </xf>
    <xf numFmtId="43" fontId="9" fillId="0" borderId="15" xfId="0" applyNumberFormat="1" applyFont="1" applyFill="1" applyBorder="1"/>
    <xf numFmtId="2" fontId="9" fillId="0" borderId="26" xfId="118" applyNumberFormat="1" applyFont="1" applyFill="1" applyBorder="1" applyAlignment="1">
      <alignment horizontal="center"/>
    </xf>
    <xf numFmtId="0" fontId="62" fillId="0" borderId="0" xfId="0" applyFont="1"/>
    <xf numFmtId="0" fontId="8" fillId="0" borderId="27" xfId="0" applyFont="1" applyFill="1" applyBorder="1" applyAlignment="1">
      <alignment horizontal="center"/>
    </xf>
    <xf numFmtId="43" fontId="9" fillId="0" borderId="27" xfId="0" applyNumberFormat="1" applyFont="1" applyFill="1" applyBorder="1"/>
    <xf numFmtId="0" fontId="8" fillId="0" borderId="33" xfId="118" applyFont="1" applyFill="1" applyBorder="1"/>
    <xf numFmtId="2" fontId="9" fillId="0" borderId="29" xfId="118" applyNumberFormat="1" applyFont="1" applyFill="1" applyBorder="1" applyAlignment="1">
      <alignment horizontal="center"/>
    </xf>
    <xf numFmtId="0" fontId="8" fillId="28" borderId="0" xfId="113" applyFont="1" applyFill="1"/>
    <xf numFmtId="0" fontId="6" fillId="0" borderId="18" xfId="0" applyFont="1" applyFill="1" applyBorder="1" applyAlignment="1">
      <alignment horizontal="center"/>
    </xf>
    <xf numFmtId="43" fontId="9" fillId="0" borderId="16" xfId="0" applyNumberFormat="1" applyFont="1" applyFill="1" applyBorder="1"/>
    <xf numFmtId="0" fontId="8" fillId="0" borderId="20" xfId="118" applyFont="1" applyFill="1" applyBorder="1"/>
    <xf numFmtId="0" fontId="8" fillId="0" borderId="27" xfId="118" applyFont="1" applyFill="1" applyBorder="1"/>
    <xf numFmtId="0" fontId="9" fillId="0" borderId="16" xfId="0" applyFont="1" applyBorder="1"/>
    <xf numFmtId="0" fontId="8" fillId="0" borderId="42" xfId="119" applyFont="1" applyBorder="1" applyAlignment="1">
      <alignment horizontal="center"/>
    </xf>
    <xf numFmtId="0" fontId="8" fillId="0" borderId="42" xfId="119" applyFont="1" applyBorder="1"/>
    <xf numFmtId="43" fontId="6" fillId="2" borderId="15" xfId="119" applyNumberFormat="1" applyFont="1" applyFill="1" applyBorder="1"/>
    <xf numFmtId="43" fontId="0" fillId="0" borderId="0" xfId="0" applyNumberFormat="1"/>
    <xf numFmtId="0" fontId="6" fillId="2" borderId="15" xfId="119" applyFont="1" applyFill="1" applyBorder="1" applyAlignment="1">
      <alignment horizontal="center"/>
    </xf>
    <xf numFmtId="0" fontId="7" fillId="2" borderId="22" xfId="119" applyFont="1" applyFill="1" applyBorder="1"/>
    <xf numFmtId="43" fontId="14" fillId="0" borderId="0" xfId="51" applyFont="1" applyFill="1"/>
    <xf numFmtId="0" fontId="8" fillId="0" borderId="14" xfId="118" applyFont="1" applyFill="1" applyBorder="1"/>
    <xf numFmtId="0" fontId="8" fillId="0" borderId="16" xfId="0" applyFont="1" applyBorder="1" applyAlignment="1">
      <alignment horizontal="left"/>
    </xf>
    <xf numFmtId="43" fontId="6" fillId="0" borderId="14" xfId="0" applyNumberFormat="1" applyFont="1" applyFill="1" applyBorder="1" applyAlignment="1">
      <alignment horizontal="center"/>
    </xf>
    <xf numFmtId="43" fontId="0" fillId="0" borderId="0" xfId="0" applyNumberFormat="1" applyFill="1"/>
    <xf numFmtId="0" fontId="67" fillId="0" borderId="0" xfId="119" applyFont="1" applyBorder="1"/>
    <xf numFmtId="43" fontId="67" fillId="0" borderId="0" xfId="0" applyNumberFormat="1" applyFont="1"/>
    <xf numFmtId="0" fontId="6" fillId="0" borderId="1" xfId="119" applyFont="1" applyBorder="1" applyAlignment="1"/>
    <xf numFmtId="0" fontId="6" fillId="0" borderId="5" xfId="119" applyFont="1" applyBorder="1" applyAlignment="1"/>
    <xf numFmtId="0" fontId="6" fillId="0" borderId="23" xfId="119" applyFont="1" applyBorder="1" applyAlignment="1"/>
    <xf numFmtId="0" fontId="72" fillId="0" borderId="0" xfId="119" applyFont="1" applyBorder="1" applyAlignment="1"/>
    <xf numFmtId="0" fontId="7" fillId="0" borderId="0" xfId="119" applyFont="1" applyBorder="1"/>
    <xf numFmtId="0" fontId="14" fillId="0" borderId="0" xfId="0" applyFont="1" applyBorder="1"/>
    <xf numFmtId="187" fontId="14" fillId="0" borderId="0" xfId="0" applyNumberFormat="1" applyFont="1"/>
    <xf numFmtId="0" fontId="14" fillId="0" borderId="0" xfId="0" applyFont="1"/>
    <xf numFmtId="0" fontId="7" fillId="28" borderId="0" xfId="0" applyFont="1" applyFill="1"/>
    <xf numFmtId="0" fontId="7" fillId="28" borderId="17" xfId="0" applyFont="1" applyFill="1" applyBorder="1" applyAlignment="1"/>
    <xf numFmtId="0" fontId="6" fillId="28" borderId="17" xfId="0" applyFont="1" applyFill="1" applyBorder="1" applyAlignment="1"/>
    <xf numFmtId="43" fontId="7" fillId="28" borderId="17" xfId="51" applyFont="1" applyFill="1" applyBorder="1" applyAlignment="1">
      <alignment horizontal="center"/>
    </xf>
    <xf numFmtId="0" fontId="7" fillId="28" borderId="0" xfId="0" applyFont="1" applyFill="1" applyBorder="1"/>
    <xf numFmtId="0" fontId="6" fillId="28" borderId="24" xfId="0" applyFont="1" applyFill="1" applyBorder="1" applyAlignment="1"/>
    <xf numFmtId="0" fontId="7" fillId="28" borderId="24" xfId="0" applyFont="1" applyFill="1" applyBorder="1" applyAlignment="1"/>
    <xf numFmtId="43" fontId="7" fillId="28" borderId="24" xfId="51" applyFont="1" applyFill="1" applyBorder="1" applyAlignment="1"/>
    <xf numFmtId="0" fontId="7" fillId="28" borderId="24" xfId="0" applyFont="1" applyFill="1" applyBorder="1" applyAlignment="1">
      <alignment horizontal="center"/>
    </xf>
    <xf numFmtId="0" fontId="9" fillId="28" borderId="20" xfId="0" applyFont="1" applyFill="1" applyBorder="1" applyAlignment="1">
      <alignment horizontal="center"/>
    </xf>
    <xf numFmtId="0" fontId="62" fillId="28" borderId="0" xfId="0" applyFont="1" applyFill="1"/>
    <xf numFmtId="0" fontId="62" fillId="28" borderId="0" xfId="0" applyFont="1" applyFill="1" applyBorder="1"/>
    <xf numFmtId="0" fontId="71" fillId="28" borderId="0" xfId="0" applyFont="1" applyFill="1" applyAlignment="1">
      <alignment horizontal="center"/>
    </xf>
    <xf numFmtId="43" fontId="62" fillId="28" borderId="0" xfId="51" applyFont="1" applyFill="1"/>
    <xf numFmtId="0" fontId="7" fillId="28" borderId="17" xfId="0" applyFont="1" applyFill="1" applyBorder="1" applyAlignment="1">
      <alignment horizontal="center"/>
    </xf>
    <xf numFmtId="0" fontId="62" fillId="28" borderId="0" xfId="0" applyFont="1" applyFill="1" applyAlignment="1">
      <alignment horizontal="center"/>
    </xf>
    <xf numFmtId="43" fontId="8" fillId="0" borderId="15" xfId="51" applyFont="1" applyFill="1" applyBorder="1"/>
    <xf numFmtId="0" fontId="8" fillId="0" borderId="15" xfId="0" applyFont="1" applyBorder="1" applyAlignment="1">
      <alignment horizontal="left"/>
    </xf>
    <xf numFmtId="0" fontId="7" fillId="28" borderId="17" xfId="0" applyFont="1" applyFill="1" applyBorder="1" applyAlignment="1">
      <alignment horizontal="center"/>
    </xf>
    <xf numFmtId="0" fontId="4" fillId="0" borderId="0" xfId="175"/>
    <xf numFmtId="0" fontId="4" fillId="0" borderId="0" xfId="175" applyAlignment="1">
      <alignment horizontal="center"/>
    </xf>
    <xf numFmtId="0" fontId="19" fillId="0" borderId="36" xfId="175" applyFont="1" applyBorder="1" applyAlignment="1">
      <alignment horizontal="left"/>
    </xf>
    <xf numFmtId="0" fontId="19" fillId="0" borderId="36" xfId="175" applyFont="1" applyBorder="1"/>
    <xf numFmtId="0" fontId="7" fillId="0" borderId="0" xfId="150" applyFont="1"/>
    <xf numFmtId="0" fontId="1" fillId="0" borderId="0" xfId="150"/>
    <xf numFmtId="0" fontId="30" fillId="0" borderId="0" xfId="175" applyFont="1" applyBorder="1" applyAlignment="1">
      <alignment horizontal="left"/>
    </xf>
    <xf numFmtId="0" fontId="19" fillId="0" borderId="0" xfId="175" applyFont="1" applyBorder="1"/>
    <xf numFmtId="0" fontId="75" fillId="0" borderId="0" xfId="175" applyFont="1" applyBorder="1" applyAlignment="1">
      <alignment horizontal="left"/>
    </xf>
    <xf numFmtId="0" fontId="30" fillId="0" borderId="0" xfId="175" applyFont="1" applyBorder="1"/>
    <xf numFmtId="0" fontId="19" fillId="0" borderId="0" xfId="175" applyFont="1"/>
    <xf numFmtId="0" fontId="8" fillId="0" borderId="0" xfId="150" applyFont="1"/>
    <xf numFmtId="0" fontId="19" fillId="0" borderId="0" xfId="175" applyFont="1" applyAlignment="1">
      <alignment horizontal="left"/>
    </xf>
    <xf numFmtId="0" fontId="19" fillId="0" borderId="0" xfId="175" applyFont="1" applyAlignment="1">
      <alignment horizontal="center"/>
    </xf>
    <xf numFmtId="0" fontId="4" fillId="0" borderId="0" xfId="175" applyAlignment="1">
      <alignment horizontal="left"/>
    </xf>
    <xf numFmtId="0" fontId="30" fillId="0" borderId="0" xfId="175" applyFont="1"/>
    <xf numFmtId="0" fontId="76" fillId="0" borderId="0" xfId="121" applyFont="1"/>
    <xf numFmtId="0" fontId="19" fillId="0" borderId="0" xfId="0" applyFont="1" applyAlignment="1">
      <alignment horizontal="center"/>
    </xf>
    <xf numFmtId="43" fontId="8" fillId="0" borderId="15" xfId="0" applyNumberFormat="1" applyFont="1" applyBorder="1"/>
    <xf numFmtId="0" fontId="8" fillId="0" borderId="33" xfId="118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3" fontId="8" fillId="0" borderId="16" xfId="0" applyNumberFormat="1" applyFont="1" applyBorder="1"/>
    <xf numFmtId="2" fontId="8" fillId="0" borderId="15" xfId="118" applyNumberFormat="1" applyFont="1" applyFill="1" applyBorder="1" applyAlignment="1">
      <alignment horizontal="center"/>
    </xf>
    <xf numFmtId="0" fontId="9" fillId="28" borderId="0" xfId="113" applyFont="1" applyFill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0" xfId="0" applyFont="1" applyFill="1" applyBorder="1"/>
    <xf numFmtId="0" fontId="8" fillId="0" borderId="33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3" fontId="8" fillId="0" borderId="28" xfId="0" applyNumberFormat="1" applyFont="1" applyBorder="1"/>
    <xf numFmtId="0" fontId="8" fillId="0" borderId="14" xfId="51" applyNumberFormat="1" applyFont="1" applyFill="1" applyBorder="1" applyAlignment="1"/>
    <xf numFmtId="0" fontId="78" fillId="0" borderId="0" xfId="114" applyFont="1"/>
    <xf numFmtId="0" fontId="79" fillId="0" borderId="0" xfId="114" applyFont="1"/>
    <xf numFmtId="0" fontId="78" fillId="0" borderId="0" xfId="114" applyFont="1" applyAlignment="1">
      <alignment horizontal="center"/>
    </xf>
    <xf numFmtId="0" fontId="80" fillId="0" borderId="0" xfId="114" applyFont="1"/>
    <xf numFmtId="0" fontId="81" fillId="0" borderId="0" xfId="114" applyFont="1"/>
    <xf numFmtId="43" fontId="8" fillId="0" borderId="14" xfId="51" applyFont="1" applyFill="1" applyBorder="1"/>
    <xf numFmtId="43" fontId="8" fillId="0" borderId="31" xfId="51" applyFont="1" applyFill="1" applyBorder="1"/>
    <xf numFmtId="0" fontId="8" fillId="0" borderId="1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43" fontId="8" fillId="0" borderId="15" xfId="51" applyFont="1" applyFill="1" applyBorder="1" applyAlignment="1">
      <alignment horizontal="center"/>
    </xf>
    <xf numFmtId="43" fontId="8" fillId="0" borderId="15" xfId="51" applyNumberFormat="1" applyFont="1" applyFill="1" applyBorder="1" applyAlignment="1">
      <alignment horizontal="center"/>
    </xf>
    <xf numFmtId="0" fontId="1" fillId="29" borderId="0" xfId="0" applyFont="1" applyFill="1" applyBorder="1"/>
    <xf numFmtId="43" fontId="9" fillId="0" borderId="15" xfId="113" applyNumberFormat="1" applyFont="1" applyFill="1" applyBorder="1" applyAlignment="1">
      <alignment horizontal="center"/>
    </xf>
    <xf numFmtId="43" fontId="9" fillId="0" borderId="15" xfId="51" applyFont="1" applyFill="1" applyBorder="1"/>
    <xf numFmtId="43" fontId="9" fillId="0" borderId="15" xfId="51" applyFont="1" applyFill="1" applyBorder="1" applyAlignment="1">
      <alignment horizontal="left"/>
    </xf>
    <xf numFmtId="0" fontId="8" fillId="0" borderId="16" xfId="113" applyFont="1" applyFill="1" applyBorder="1" applyAlignment="1">
      <alignment horizontal="center"/>
    </xf>
    <xf numFmtId="0" fontId="8" fillId="0" borderId="15" xfId="0" quotePrefix="1" applyFont="1" applyFill="1" applyBorder="1" applyAlignment="1">
      <alignment horizontal="right" vertical="center"/>
    </xf>
    <xf numFmtId="43" fontId="8" fillId="0" borderId="15" xfId="125" applyFont="1" applyFill="1" applyBorder="1"/>
    <xf numFmtId="0" fontId="8" fillId="0" borderId="15" xfId="0" applyFont="1" applyFill="1" applyBorder="1"/>
    <xf numFmtId="0" fontId="9" fillId="0" borderId="0" xfId="113" applyFont="1" applyFill="1" applyBorder="1" applyAlignment="1">
      <alignment horizontal="right"/>
    </xf>
    <xf numFmtId="43" fontId="9" fillId="0" borderId="0" xfId="51" applyFont="1" applyFill="1" applyBorder="1"/>
    <xf numFmtId="43" fontId="9" fillId="0" borderId="30" xfId="51" applyFont="1" applyFill="1" applyBorder="1"/>
    <xf numFmtId="0" fontId="9" fillId="0" borderId="0" xfId="113" applyFont="1" applyFill="1" applyBorder="1" applyAlignment="1">
      <alignment horizontal="center"/>
    </xf>
    <xf numFmtId="0" fontId="8" fillId="0" borderId="16" xfId="0" quotePrefix="1" applyFont="1" applyFill="1" applyBorder="1" applyAlignment="1">
      <alignment horizontal="right" vertical="center"/>
    </xf>
    <xf numFmtId="43" fontId="8" fillId="0" borderId="14" xfId="125" applyFont="1" applyFill="1" applyBorder="1"/>
    <xf numFmtId="0" fontId="9" fillId="0" borderId="43" xfId="113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28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3" fontId="8" fillId="0" borderId="14" xfId="51" applyFont="1" applyFill="1" applyBorder="1" applyAlignment="1">
      <alignment horizontal="left"/>
    </xf>
    <xf numFmtId="0" fontId="8" fillId="0" borderId="14" xfId="113" applyFont="1" applyFill="1" applyBorder="1" applyAlignment="1">
      <alignment horizontal="center"/>
    </xf>
    <xf numFmtId="43" fontId="9" fillId="28" borderId="14" xfId="51" applyFont="1" applyFill="1" applyBorder="1" applyAlignment="1">
      <alignment horizontal="center"/>
    </xf>
    <xf numFmtId="0" fontId="9" fillId="28" borderId="32" xfId="0" applyFont="1" applyFill="1" applyBorder="1" applyAlignment="1">
      <alignment horizontal="center"/>
    </xf>
    <xf numFmtId="43" fontId="9" fillId="0" borderId="15" xfId="51" applyNumberFormat="1" applyFont="1" applyFill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43" fontId="9" fillId="0" borderId="15" xfId="125" applyFont="1" applyFill="1" applyBorder="1"/>
    <xf numFmtId="43" fontId="8" fillId="0" borderId="22" xfId="51" applyFont="1" applyFill="1" applyBorder="1" applyAlignment="1">
      <alignment horizontal="center"/>
    </xf>
    <xf numFmtId="43" fontId="9" fillId="28" borderId="31" xfId="51" applyFont="1" applyFill="1" applyBorder="1" applyAlignment="1">
      <alignment horizontal="center"/>
    </xf>
    <xf numFmtId="43" fontId="8" fillId="0" borderId="31" xfId="51" applyFont="1" applyFill="1" applyBorder="1" applyAlignment="1">
      <alignment horizontal="center"/>
    </xf>
    <xf numFmtId="43" fontId="8" fillId="0" borderId="14" xfId="51" applyFont="1" applyFill="1" applyBorder="1" applyAlignment="1">
      <alignment horizontal="center"/>
    </xf>
    <xf numFmtId="43" fontId="9" fillId="0" borderId="15" xfId="51" applyFont="1" applyFill="1" applyBorder="1" applyAlignment="1">
      <alignment horizontal="center"/>
    </xf>
    <xf numFmtId="43" fontId="9" fillId="0" borderId="14" xfId="125" applyFont="1" applyFill="1" applyBorder="1"/>
    <xf numFmtId="43" fontId="8" fillId="0" borderId="15" xfId="0" applyNumberFormat="1" applyFont="1" applyFill="1" applyBorder="1"/>
    <xf numFmtId="0" fontId="62" fillId="29" borderId="0" xfId="0" applyFont="1" applyFill="1"/>
    <xf numFmtId="0" fontId="8" fillId="28" borderId="14" xfId="0" applyFont="1" applyFill="1" applyBorder="1" applyAlignment="1">
      <alignment horizontal="left"/>
    </xf>
    <xf numFmtId="0" fontId="77" fillId="28" borderId="0" xfId="113" applyFont="1" applyFill="1"/>
    <xf numFmtId="43" fontId="77" fillId="0" borderId="14" xfId="51" applyFont="1" applyFill="1" applyBorder="1"/>
    <xf numFmtId="0" fontId="82" fillId="0" borderId="0" xfId="0" applyFont="1" applyFill="1" applyBorder="1"/>
    <xf numFmtId="43" fontId="77" fillId="0" borderId="15" xfId="125" applyFont="1" applyFill="1" applyBorder="1"/>
    <xf numFmtId="0" fontId="82" fillId="0" borderId="0" xfId="0" applyFont="1" applyFill="1" applyBorder="1" applyAlignment="1">
      <alignment horizontal="center"/>
    </xf>
    <xf numFmtId="0" fontId="77" fillId="28" borderId="0" xfId="113" applyFont="1" applyFill="1" applyAlignment="1">
      <alignment horizontal="center"/>
    </xf>
    <xf numFmtId="0" fontId="82" fillId="29" borderId="0" xfId="0" applyFont="1" applyFill="1" applyBorder="1" applyAlignment="1">
      <alignment horizontal="center"/>
    </xf>
    <xf numFmtId="0" fontId="83" fillId="28" borderId="0" xfId="113" applyFont="1" applyFill="1" applyAlignment="1">
      <alignment horizontal="center"/>
    </xf>
    <xf numFmtId="0" fontId="8" fillId="0" borderId="15" xfId="0" quotePrefix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left"/>
    </xf>
    <xf numFmtId="0" fontId="8" fillId="0" borderId="22" xfId="0" quotePrefix="1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/>
    </xf>
    <xf numFmtId="43" fontId="83" fillId="0" borderId="14" xfId="125" applyFont="1" applyFill="1" applyBorder="1"/>
    <xf numFmtId="0" fontId="82" fillId="29" borderId="0" xfId="0" applyFont="1" applyFill="1" applyBorder="1" applyAlignment="1">
      <alignment horizontal="left"/>
    </xf>
    <xf numFmtId="0" fontId="7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left"/>
    </xf>
    <xf numFmtId="0" fontId="62" fillId="28" borderId="0" xfId="0" applyFont="1" applyFill="1" applyAlignment="1">
      <alignment horizontal="left"/>
    </xf>
    <xf numFmtId="0" fontId="62" fillId="28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7" fillId="28" borderId="0" xfId="113" applyFont="1" applyFill="1" applyAlignment="1">
      <alignment horizontal="left"/>
    </xf>
    <xf numFmtId="0" fontId="9" fillId="28" borderId="0" xfId="113" applyFont="1" applyFill="1" applyAlignment="1">
      <alignment horizontal="left"/>
    </xf>
    <xf numFmtId="0" fontId="1" fillId="29" borderId="0" xfId="0" applyFont="1" applyFill="1" applyBorder="1" applyAlignment="1">
      <alignment horizontal="left"/>
    </xf>
    <xf numFmtId="43" fontId="8" fillId="28" borderId="0" xfId="0" applyNumberFormat="1" applyFont="1" applyFill="1" applyAlignment="1">
      <alignment horizontal="center"/>
    </xf>
    <xf numFmtId="43" fontId="67" fillId="28" borderId="15" xfId="135" applyFont="1" applyFill="1" applyBorder="1" applyAlignment="1">
      <alignment horizontal="center"/>
    </xf>
    <xf numFmtId="0" fontId="67" fillId="28" borderId="15" xfId="0" applyFont="1" applyFill="1" applyBorder="1" applyAlignment="1">
      <alignment horizontal="center"/>
    </xf>
    <xf numFmtId="43" fontId="67" fillId="28" borderId="33" xfId="135" applyFont="1" applyFill="1" applyBorder="1"/>
    <xf numFmtId="43" fontId="67" fillId="28" borderId="34" xfId="135" applyFont="1" applyFill="1" applyBorder="1"/>
    <xf numFmtId="43" fontId="67" fillId="28" borderId="15" xfId="135" applyFont="1" applyFill="1" applyBorder="1"/>
    <xf numFmtId="0" fontId="8" fillId="28" borderId="16" xfId="0" quotePrefix="1" applyFont="1" applyFill="1" applyBorder="1" applyAlignment="1">
      <alignment horizontal="right"/>
    </xf>
    <xf numFmtId="0" fontId="8" fillId="28" borderId="16" xfId="0" applyFont="1" applyFill="1" applyBorder="1" applyAlignment="1"/>
    <xf numFmtId="43" fontId="8" fillId="28" borderId="15" xfId="126" applyFont="1" applyFill="1" applyBorder="1" applyAlignment="1"/>
    <xf numFmtId="0" fontId="8" fillId="28" borderId="15" xfId="0" applyFont="1" applyFill="1" applyBorder="1" applyAlignment="1">
      <alignment horizontal="center" vertical="center"/>
    </xf>
    <xf numFmtId="43" fontId="8" fillId="28" borderId="16" xfId="126" applyFont="1" applyFill="1" applyBorder="1" applyAlignment="1"/>
    <xf numFmtId="0" fontId="8" fillId="28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center"/>
    </xf>
    <xf numFmtId="0" fontId="77" fillId="28" borderId="0" xfId="0" applyFont="1" applyFill="1" applyAlignment="1">
      <alignment horizontal="left"/>
    </xf>
    <xf numFmtId="0" fontId="77" fillId="28" borderId="0" xfId="0" applyFont="1" applyFill="1" applyAlignment="1">
      <alignment horizontal="center"/>
    </xf>
    <xf numFmtId="43" fontId="77" fillId="28" borderId="0" xfId="51" applyFont="1" applyFill="1" applyAlignment="1">
      <alignment horizontal="center"/>
    </xf>
    <xf numFmtId="0" fontId="85" fillId="28" borderId="0" xfId="189" applyFill="1" applyAlignment="1">
      <alignment horizontal="left"/>
    </xf>
    <xf numFmtId="0" fontId="62" fillId="0" borderId="0" xfId="0" applyFont="1" applyFill="1" applyAlignment="1">
      <alignment horizontal="left"/>
    </xf>
    <xf numFmtId="0" fontId="62" fillId="0" borderId="0" xfId="0" applyFont="1" applyFill="1"/>
    <xf numFmtId="0" fontId="9" fillId="28" borderId="14" xfId="0" applyFont="1" applyFill="1" applyBorder="1" applyAlignment="1">
      <alignment horizontal="center"/>
    </xf>
    <xf numFmtId="0" fontId="9" fillId="0" borderId="43" xfId="113" applyFont="1" applyFill="1" applyBorder="1" applyAlignment="1">
      <alignment horizontal="right"/>
    </xf>
    <xf numFmtId="0" fontId="8" fillId="28" borderId="0" xfId="113" applyFont="1" applyFill="1" applyAlignment="1">
      <alignment horizontal="right"/>
    </xf>
    <xf numFmtId="0" fontId="8" fillId="0" borderId="43" xfId="113" applyFont="1" applyFill="1" applyBorder="1" applyAlignment="1">
      <alignment horizontal="right"/>
    </xf>
    <xf numFmtId="1" fontId="8" fillId="0" borderId="15" xfId="51" applyNumberFormat="1" applyFont="1" applyFill="1" applyBorder="1" applyAlignment="1">
      <alignment horizontal="right"/>
    </xf>
    <xf numFmtId="0" fontId="77" fillId="0" borderId="14" xfId="0" applyFont="1" applyFill="1" applyBorder="1" applyAlignment="1">
      <alignment horizontal="left"/>
    </xf>
    <xf numFmtId="43" fontId="77" fillId="0" borderId="15" xfId="51" applyFont="1" applyFill="1" applyBorder="1" applyAlignment="1">
      <alignment horizontal="center"/>
    </xf>
    <xf numFmtId="0" fontId="77" fillId="0" borderId="31" xfId="0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1" fontId="77" fillId="0" borderId="15" xfId="51" applyNumberFormat="1" applyFont="1" applyFill="1" applyBorder="1" applyAlignment="1">
      <alignment horizontal="right"/>
    </xf>
    <xf numFmtId="43" fontId="77" fillId="0" borderId="14" xfId="51" applyFont="1" applyFill="1" applyBorder="1" applyAlignment="1">
      <alignment horizontal="center"/>
    </xf>
    <xf numFmtId="43" fontId="77" fillId="0" borderId="15" xfId="51" applyFont="1" applyFill="1" applyBorder="1"/>
    <xf numFmtId="0" fontId="83" fillId="0" borderId="16" xfId="0" applyFont="1" applyFill="1" applyBorder="1" applyAlignment="1">
      <alignment horizontal="center"/>
    </xf>
    <xf numFmtId="0" fontId="77" fillId="28" borderId="0" xfId="113" applyFont="1" applyFill="1" applyAlignment="1">
      <alignment horizontal="right"/>
    </xf>
    <xf numFmtId="43" fontId="77" fillId="0" borderId="14" xfId="51" applyFont="1" applyFill="1" applyBorder="1" applyAlignment="1">
      <alignment horizontal="left"/>
    </xf>
    <xf numFmtId="0" fontId="77" fillId="0" borderId="15" xfId="0" quotePrefix="1" applyFont="1" applyFill="1" applyBorder="1" applyAlignment="1">
      <alignment horizontal="right" vertical="center"/>
    </xf>
    <xf numFmtId="43" fontId="77" fillId="0" borderId="22" xfId="51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0" fontId="77" fillId="0" borderId="15" xfId="0" applyFont="1" applyFill="1" applyBorder="1"/>
    <xf numFmtId="0" fontId="87" fillId="28" borderId="0" xfId="0" applyFont="1" applyFill="1"/>
    <xf numFmtId="43" fontId="77" fillId="0" borderId="15" xfId="0" applyNumberFormat="1" applyFont="1" applyFill="1" applyBorder="1"/>
    <xf numFmtId="0" fontId="8" fillId="28" borderId="0" xfId="0" applyFont="1" applyFill="1" applyAlignment="1">
      <alignment horizontal="left"/>
    </xf>
    <xf numFmtId="0" fontId="88" fillId="28" borderId="0" xfId="0" applyFont="1" applyFill="1" applyAlignment="1">
      <alignment horizontal="left"/>
    </xf>
    <xf numFmtId="0" fontId="9" fillId="30" borderId="43" xfId="113" applyFont="1" applyFill="1" applyBorder="1" applyAlignment="1">
      <alignment horizontal="center"/>
    </xf>
    <xf numFmtId="0" fontId="9" fillId="30" borderId="14" xfId="0" applyFont="1" applyFill="1" applyBorder="1" applyAlignment="1">
      <alignment horizontal="left"/>
    </xf>
    <xf numFmtId="0" fontId="8" fillId="0" borderId="22" xfId="0" quotePrefix="1" applyFont="1" applyFill="1" applyBorder="1" applyAlignment="1">
      <alignment horizontal="right" vertical="center"/>
    </xf>
    <xf numFmtId="43" fontId="8" fillId="28" borderId="22" xfId="51" applyFont="1" applyFill="1" applyBorder="1" applyAlignment="1">
      <alignment horizontal="center"/>
    </xf>
    <xf numFmtId="2" fontId="9" fillId="0" borderId="43" xfId="113" applyNumberFormat="1" applyFont="1" applyFill="1" applyBorder="1" applyAlignment="1">
      <alignment horizontal="right"/>
    </xf>
    <xf numFmtId="0" fontId="89" fillId="28" borderId="0" xfId="189" applyFont="1" applyFill="1" applyAlignment="1">
      <alignment horizontal="left"/>
    </xf>
    <xf numFmtId="0" fontId="84" fillId="30" borderId="15" xfId="0" applyFont="1" applyFill="1" applyBorder="1" applyAlignment="1">
      <alignment horizontal="left"/>
    </xf>
    <xf numFmtId="1" fontId="9" fillId="30" borderId="43" xfId="113" applyNumberFormat="1" applyFont="1" applyFill="1" applyBorder="1" applyAlignment="1">
      <alignment horizontal="center"/>
    </xf>
    <xf numFmtId="0" fontId="84" fillId="28" borderId="16" xfId="0" applyFont="1" applyFill="1" applyBorder="1"/>
    <xf numFmtId="0" fontId="84" fillId="28" borderId="35" xfId="0" applyFont="1" applyFill="1" applyBorder="1" applyAlignment="1">
      <alignment horizontal="center"/>
    </xf>
    <xf numFmtId="0" fontId="84" fillId="30" borderId="16" xfId="0" applyFont="1" applyFill="1" applyBorder="1" applyAlignment="1">
      <alignment horizontal="left"/>
    </xf>
    <xf numFmtId="1" fontId="9" fillId="30" borderId="45" xfId="113" applyNumberFormat="1" applyFont="1" applyFill="1" applyBorder="1" applyAlignment="1">
      <alignment horizontal="center"/>
    </xf>
    <xf numFmtId="0" fontId="67" fillId="28" borderId="15" xfId="0" applyFont="1" applyFill="1" applyBorder="1" applyAlignment="1">
      <alignment horizontal="right"/>
    </xf>
    <xf numFmtId="0" fontId="67" fillId="28" borderId="16" xfId="0" applyFont="1" applyFill="1" applyBorder="1" applyAlignment="1">
      <alignment horizontal="left"/>
    </xf>
    <xf numFmtId="0" fontId="84" fillId="28" borderId="33" xfId="0" applyFont="1" applyFill="1" applyBorder="1"/>
    <xf numFmtId="43" fontId="84" fillId="28" borderId="33" xfId="135" applyFont="1" applyFill="1" applyBorder="1"/>
    <xf numFmtId="43" fontId="84" fillId="28" borderId="16" xfId="135" applyFont="1" applyFill="1" applyBorder="1"/>
    <xf numFmtId="43" fontId="84" fillId="28" borderId="15" xfId="135" applyFont="1" applyFill="1" applyBorder="1"/>
    <xf numFmtId="0" fontId="84" fillId="28" borderId="15" xfId="0" applyFont="1" applyFill="1" applyBorder="1"/>
    <xf numFmtId="0" fontId="67" fillId="28" borderId="16" xfId="0" applyFont="1" applyFill="1" applyBorder="1"/>
    <xf numFmtId="43" fontId="84" fillId="28" borderId="14" xfId="135" applyFont="1" applyFill="1" applyBorder="1"/>
    <xf numFmtId="43" fontId="8" fillId="28" borderId="33" xfId="126" applyFont="1" applyFill="1" applyBorder="1" applyAlignment="1"/>
    <xf numFmtId="43" fontId="8" fillId="28" borderId="14" xfId="126" applyFont="1" applyFill="1" applyBorder="1" applyAlignment="1"/>
    <xf numFmtId="0" fontId="84" fillId="30" borderId="15" xfId="0" applyFont="1" applyFill="1" applyBorder="1" applyAlignment="1">
      <alignment horizontal="center"/>
    </xf>
    <xf numFmtId="43" fontId="84" fillId="30" borderId="33" xfId="135" applyFont="1" applyFill="1" applyBorder="1"/>
    <xf numFmtId="0" fontId="84" fillId="30" borderId="16" xfId="0" applyFont="1" applyFill="1" applyBorder="1"/>
    <xf numFmtId="43" fontId="84" fillId="30" borderId="14" xfId="135" applyFont="1" applyFill="1" applyBorder="1"/>
    <xf numFmtId="43" fontId="84" fillId="30" borderId="15" xfId="135" applyFont="1" applyFill="1" applyBorder="1"/>
    <xf numFmtId="43" fontId="84" fillId="30" borderId="16" xfId="135" applyFont="1" applyFill="1" applyBorder="1"/>
    <xf numFmtId="0" fontId="9" fillId="30" borderId="14" xfId="0" applyFont="1" applyFill="1" applyBorder="1" applyAlignment="1">
      <alignment horizontal="center"/>
    </xf>
    <xf numFmtId="43" fontId="8" fillId="30" borderId="22" xfId="51" applyFont="1" applyFill="1" applyBorder="1" applyAlignment="1">
      <alignment horizontal="center"/>
    </xf>
    <xf numFmtId="0" fontId="8" fillId="30" borderId="15" xfId="0" applyFont="1" applyFill="1" applyBorder="1" applyAlignment="1">
      <alignment horizontal="center"/>
    </xf>
    <xf numFmtId="43" fontId="8" fillId="30" borderId="14" xfId="51" applyFont="1" applyFill="1" applyBorder="1"/>
    <xf numFmtId="43" fontId="9" fillId="30" borderId="14" xfId="125" applyFont="1" applyFill="1" applyBorder="1"/>
    <xf numFmtId="43" fontId="8" fillId="30" borderId="15" xfId="125" applyFont="1" applyFill="1" applyBorder="1"/>
    <xf numFmtId="0" fontId="8" fillId="0" borderId="0" xfId="0" applyFont="1" applyFill="1" applyBorder="1" applyAlignment="1">
      <alignment horizontal="left"/>
    </xf>
    <xf numFmtId="0" fontId="8" fillId="28" borderId="0" xfId="0" applyFont="1" applyFill="1" applyAlignment="1">
      <alignment horizontal="right"/>
    </xf>
    <xf numFmtId="0" fontId="1" fillId="29" borderId="0" xfId="0" applyFont="1" applyFill="1" applyBorder="1" applyAlignment="1">
      <alignment horizontal="center"/>
    </xf>
    <xf numFmtId="0" fontId="9" fillId="30" borderId="40" xfId="0" applyFont="1" applyFill="1" applyBorder="1" applyAlignment="1">
      <alignment horizontal="center"/>
    </xf>
    <xf numFmtId="43" fontId="9" fillId="28" borderId="20" xfId="51" applyFont="1" applyFill="1" applyBorder="1" applyAlignment="1">
      <alignment horizontal="center"/>
    </xf>
    <xf numFmtId="43" fontId="9" fillId="28" borderId="26" xfId="51" applyFont="1" applyFill="1" applyBorder="1" applyAlignment="1">
      <alignment horizontal="center"/>
    </xf>
    <xf numFmtId="0" fontId="9" fillId="28" borderId="26" xfId="0" applyFont="1" applyFill="1" applyBorder="1" applyAlignment="1">
      <alignment horizontal="center"/>
    </xf>
    <xf numFmtId="0" fontId="9" fillId="28" borderId="46" xfId="0" applyFont="1" applyFill="1" applyBorder="1" applyAlignment="1">
      <alignment horizontal="center"/>
    </xf>
    <xf numFmtId="0" fontId="77" fillId="0" borderId="22" xfId="0" quotePrefix="1" applyFont="1" applyFill="1" applyBorder="1" applyAlignment="1">
      <alignment horizontal="right" vertical="center"/>
    </xf>
    <xf numFmtId="43" fontId="77" fillId="0" borderId="14" xfId="125" applyFont="1" applyFill="1" applyBorder="1"/>
    <xf numFmtId="0" fontId="87" fillId="28" borderId="0" xfId="0" applyFont="1" applyFill="1" applyAlignment="1">
      <alignment horizontal="left"/>
    </xf>
    <xf numFmtId="0" fontId="9" fillId="0" borderId="47" xfId="118" applyFont="1" applyBorder="1" applyAlignment="1"/>
    <xf numFmtId="0" fontId="8" fillId="0" borderId="47" xfId="118" applyFont="1" applyBorder="1" applyAlignment="1"/>
    <xf numFmtId="0" fontId="55" fillId="0" borderId="0" xfId="114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38" xfId="118" applyFont="1" applyBorder="1" applyAlignment="1">
      <alignment horizontal="center"/>
    </xf>
    <xf numFmtId="0" fontId="8" fillId="0" borderId="18" xfId="118" applyFont="1" applyBorder="1" applyAlignment="1">
      <alignment horizontal="center" vertical="center"/>
    </xf>
    <xf numFmtId="0" fontId="8" fillId="0" borderId="19" xfId="118" applyFont="1" applyBorder="1" applyAlignment="1">
      <alignment horizontal="center" vertical="center"/>
    </xf>
    <xf numFmtId="0" fontId="8" fillId="0" borderId="0" xfId="119" applyFont="1" applyAlignment="1">
      <alignment horizontal="left"/>
    </xf>
    <xf numFmtId="0" fontId="8" fillId="0" borderId="17" xfId="118" applyFont="1" applyBorder="1" applyAlignment="1">
      <alignment horizontal="left"/>
    </xf>
    <xf numFmtId="0" fontId="6" fillId="0" borderId="18" xfId="118" applyFont="1" applyFill="1" applyBorder="1" applyAlignment="1">
      <alignment horizontal="center" vertical="center"/>
    </xf>
    <xf numFmtId="0" fontId="6" fillId="0" borderId="21" xfId="118" applyFont="1" applyFill="1" applyBorder="1" applyAlignment="1">
      <alignment horizontal="center" vertical="center"/>
    </xf>
    <xf numFmtId="0" fontId="8" fillId="0" borderId="17" xfId="119" applyFont="1" applyBorder="1" applyAlignment="1">
      <alignment horizontal="left"/>
    </xf>
    <xf numFmtId="189" fontId="17" fillId="0" borderId="18" xfId="119" applyNumberFormat="1" applyFont="1" applyBorder="1" applyAlignment="1">
      <alignment horizontal="center" vertical="center"/>
    </xf>
    <xf numFmtId="189" fontId="17" fillId="0" borderId="33" xfId="119" applyNumberFormat="1" applyFont="1" applyBorder="1" applyAlignment="1">
      <alignment horizontal="center" vertical="center"/>
    </xf>
    <xf numFmtId="0" fontId="6" fillId="0" borderId="0" xfId="119" applyFont="1" applyAlignment="1">
      <alignment horizontal="center"/>
    </xf>
    <xf numFmtId="0" fontId="6" fillId="0" borderId="36" xfId="119" applyFont="1" applyBorder="1" applyAlignment="1">
      <alignment horizontal="center"/>
    </xf>
    <xf numFmtId="0" fontId="8" fillId="0" borderId="37" xfId="119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0" xfId="119" applyFont="1" applyFill="1" applyBorder="1" applyAlignment="1">
      <alignment horizontal="center"/>
    </xf>
    <xf numFmtId="0" fontId="7" fillId="2" borderId="17" xfId="119" applyFont="1" applyFill="1" applyBorder="1" applyAlignment="1">
      <alignment horizontal="center"/>
    </xf>
    <xf numFmtId="0" fontId="7" fillId="2" borderId="22" xfId="119" applyFont="1" applyFill="1" applyBorder="1" applyAlignment="1">
      <alignment horizontal="center"/>
    </xf>
    <xf numFmtId="0" fontId="8" fillId="0" borderId="18" xfId="119" applyFont="1" applyBorder="1" applyAlignment="1">
      <alignment horizontal="center" vertical="center"/>
    </xf>
    <xf numFmtId="0" fontId="8" fillId="0" borderId="21" xfId="119" applyFont="1" applyBorder="1" applyAlignment="1">
      <alignment horizontal="center" vertical="center"/>
    </xf>
    <xf numFmtId="0" fontId="8" fillId="2" borderId="30" xfId="119" applyFont="1" applyFill="1" applyBorder="1" applyAlignment="1">
      <alignment horizontal="center"/>
    </xf>
    <xf numFmtId="0" fontId="8" fillId="2" borderId="17" xfId="119" applyFont="1" applyFill="1" applyBorder="1" applyAlignment="1">
      <alignment horizontal="center"/>
    </xf>
    <xf numFmtId="0" fontId="8" fillId="2" borderId="22" xfId="119" applyFont="1" applyFill="1" applyBorder="1" applyAlignment="1">
      <alignment horizontal="center"/>
    </xf>
    <xf numFmtId="2" fontId="6" fillId="0" borderId="18" xfId="119" applyNumberFormat="1" applyFont="1" applyBorder="1" applyAlignment="1">
      <alignment horizontal="center" vertical="center"/>
    </xf>
    <xf numFmtId="2" fontId="6" fillId="0" borderId="33" xfId="119" applyNumberFormat="1" applyFont="1" applyBorder="1" applyAlignment="1">
      <alignment horizontal="center" vertical="center"/>
    </xf>
    <xf numFmtId="2" fontId="6" fillId="0" borderId="14" xfId="119" applyNumberFormat="1" applyFont="1" applyBorder="1" applyAlignment="1">
      <alignment horizontal="center" vertical="center"/>
    </xf>
    <xf numFmtId="0" fontId="9" fillId="28" borderId="28" xfId="0" applyFont="1" applyFill="1" applyBorder="1" applyAlignment="1">
      <alignment horizontal="center"/>
    </xf>
    <xf numFmtId="0" fontId="9" fillId="28" borderId="33" xfId="0" applyFont="1" applyFill="1" applyBorder="1" applyAlignment="1">
      <alignment horizontal="center"/>
    </xf>
    <xf numFmtId="0" fontId="6" fillId="30" borderId="38" xfId="0" applyFont="1" applyFill="1" applyBorder="1" applyAlignment="1">
      <alignment horizontal="left"/>
    </xf>
    <xf numFmtId="0" fontId="7" fillId="30" borderId="38" xfId="0" applyFont="1" applyFill="1" applyBorder="1" applyAlignment="1">
      <alignment horizontal="left"/>
    </xf>
    <xf numFmtId="0" fontId="6" fillId="28" borderId="17" xfId="0" applyFont="1" applyFill="1" applyBorder="1" applyAlignment="1">
      <alignment horizontal="left"/>
    </xf>
    <xf numFmtId="0" fontId="7" fillId="28" borderId="17" xfId="0" applyFont="1" applyFill="1" applyBorder="1" applyAlignment="1">
      <alignment horizontal="left"/>
    </xf>
    <xf numFmtId="0" fontId="9" fillId="28" borderId="41" xfId="0" applyFont="1" applyFill="1" applyBorder="1" applyAlignment="1">
      <alignment horizontal="center"/>
    </xf>
    <xf numFmtId="0" fontId="9" fillId="28" borderId="34" xfId="0" applyFont="1" applyFill="1" applyBorder="1" applyAlignment="1">
      <alignment horizontal="center"/>
    </xf>
    <xf numFmtId="0" fontId="9" fillId="28" borderId="19" xfId="0" applyFont="1" applyFill="1" applyBorder="1" applyAlignment="1">
      <alignment horizontal="center"/>
    </xf>
    <xf numFmtId="0" fontId="9" fillId="28" borderId="44" xfId="0" applyFont="1" applyFill="1" applyBorder="1" applyAlignment="1">
      <alignment horizontal="center"/>
    </xf>
    <xf numFmtId="0" fontId="9" fillId="28" borderId="35" xfId="0" applyFont="1" applyFill="1" applyBorder="1" applyAlignment="1">
      <alignment horizontal="center"/>
    </xf>
    <xf numFmtId="0" fontId="9" fillId="28" borderId="39" xfId="0" applyFont="1" applyFill="1" applyBorder="1" applyAlignment="1">
      <alignment horizontal="center"/>
    </xf>
    <xf numFmtId="0" fontId="9" fillId="28" borderId="40" xfId="0" applyFont="1" applyFill="1" applyBorder="1" applyAlignment="1">
      <alignment horizontal="center"/>
    </xf>
    <xf numFmtId="0" fontId="6" fillId="28" borderId="17" xfId="0" applyFont="1" applyFill="1" applyBorder="1" applyAlignment="1">
      <alignment horizontal="center"/>
    </xf>
    <xf numFmtId="0" fontId="7" fillId="28" borderId="17" xfId="0" applyFont="1" applyFill="1" applyBorder="1" applyAlignment="1">
      <alignment horizontal="center"/>
    </xf>
    <xf numFmtId="0" fontId="4" fillId="0" borderId="0" xfId="175" applyAlignment="1">
      <alignment horizontal="center"/>
    </xf>
    <xf numFmtId="0" fontId="74" fillId="0" borderId="0" xfId="175" applyFont="1" applyAlignment="1">
      <alignment horizontal="center"/>
    </xf>
  </cellXfs>
  <cellStyles count="203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?PERSONAL 2" xfId="12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=C:\WINDOWS\SYSTEM32\COMMAND.COM 2" xfId="129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b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41"/>
    <cellStyle name="Calc Currency (0) 2" xfId="130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0) 2" xfId="131"/>
    <cellStyle name="Calc Units (1)" xfId="47"/>
    <cellStyle name="Calc Units (1) 2" xfId="132"/>
    <cellStyle name="Calc Units (2)" xfId="48"/>
    <cellStyle name="Calculation" xfId="49"/>
    <cellStyle name="Check Cell" xfId="50"/>
    <cellStyle name="Comma" xfId="51" builtinId="3"/>
    <cellStyle name="Comma [00]" xfId="52"/>
    <cellStyle name="Comma [00] 2" xfId="133"/>
    <cellStyle name="Comma 10" xfId="134"/>
    <cellStyle name="Comma 11" xfId="191"/>
    <cellStyle name="Comma 2" xfId="53"/>
    <cellStyle name="Comma 2 2" xfId="135"/>
    <cellStyle name="Comma 3" xfId="124"/>
    <cellStyle name="Comma 3 2" xfId="126"/>
    <cellStyle name="Comma 4" xfId="125"/>
    <cellStyle name="Comma 4 2" xfId="192"/>
    <cellStyle name="Comma 5" xfId="136"/>
    <cellStyle name="Comma 6" xfId="137"/>
    <cellStyle name="Comma 7" xfId="138"/>
    <cellStyle name="Comma 8" xfId="139"/>
    <cellStyle name="Comma 9" xfId="140"/>
    <cellStyle name="company_title" xfId="54"/>
    <cellStyle name="Currency [00]" xfId="55"/>
    <cellStyle name="Date Short" xfId="56"/>
    <cellStyle name="date_format" xfId="57"/>
    <cellStyle name="Enter Currency (0)" xfId="58"/>
    <cellStyle name="Enter Currency (0) 2" xfId="141"/>
    <cellStyle name="Enter Currency (2)" xfId="59"/>
    <cellStyle name="Enter Units (0)" xfId="60"/>
    <cellStyle name="Enter Units (0) 2" xfId="142"/>
    <cellStyle name="Enter Units (1)" xfId="61"/>
    <cellStyle name="Enter Units (1) 2" xfId="143"/>
    <cellStyle name="Enter Units (2)" xfId="62"/>
    <cellStyle name="Explanatory Text" xfId="63"/>
    <cellStyle name="Good" xfId="64"/>
    <cellStyle name="Grey" xfId="65"/>
    <cellStyle name="Grey 2" xfId="144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189" builtinId="8"/>
    <cellStyle name="Hyperlink 2" xfId="179"/>
    <cellStyle name="Input" xfId="72"/>
    <cellStyle name="Input [yellow]" xfId="73"/>
    <cellStyle name="Input [yellow] 2" xfId="145"/>
    <cellStyle name="Link Currency (0)" xfId="74"/>
    <cellStyle name="Link Currency (0) 2" xfId="146"/>
    <cellStyle name="Link Currency (2)" xfId="75"/>
    <cellStyle name="Link Units (0)" xfId="76"/>
    <cellStyle name="Link Units (0) 2" xfId="147"/>
    <cellStyle name="Link Units (1)" xfId="77"/>
    <cellStyle name="Link Units (1) 2" xfId="148"/>
    <cellStyle name="Link Units (2)" xfId="78"/>
    <cellStyle name="Linked Cell" xfId="79"/>
    <cellStyle name="Neutral" xfId="80"/>
    <cellStyle name="Normal" xfId="0" builtinId="0"/>
    <cellStyle name="Normal - Style1" xfId="81"/>
    <cellStyle name="Normal - Style1 2" xfId="149"/>
    <cellStyle name="Normal - Style1 3" xfId="193"/>
    <cellStyle name="Normal 10" xfId="150"/>
    <cellStyle name="Normal 11" xfId="194"/>
    <cellStyle name="Normal 12" xfId="195"/>
    <cellStyle name="Normal 13" xfId="196"/>
    <cellStyle name="Normal 14" xfId="197"/>
    <cellStyle name="Normal 15" xfId="187"/>
    <cellStyle name="Normal 16" xfId="198"/>
    <cellStyle name="Normal 17" xfId="188"/>
    <cellStyle name="Normal 18" xfId="199"/>
    <cellStyle name="Normal 19" xfId="200"/>
    <cellStyle name="Normal 2" xfId="82"/>
    <cellStyle name="Normal 2 2" xfId="151"/>
    <cellStyle name="Normal 20" xfId="201"/>
    <cellStyle name="Normal 21" xfId="190"/>
    <cellStyle name="Normal 3" xfId="123"/>
    <cellStyle name="Normal 4" xfId="152"/>
    <cellStyle name="Normal 5" xfId="153"/>
    <cellStyle name="Normal 6" xfId="154"/>
    <cellStyle name="Normal 7" xfId="155"/>
    <cellStyle name="Normal 8" xfId="127"/>
    <cellStyle name="Normal 9" xfId="156"/>
    <cellStyle name="Note" xfId="83"/>
    <cellStyle name="Note 2" xfId="180"/>
    <cellStyle name="Output" xfId="84"/>
    <cellStyle name="ParaBirimi [0]_RESULTS" xfId="85"/>
    <cellStyle name="ParaBirimi_RESULTS" xfId="86"/>
    <cellStyle name="Percent [0]" xfId="87"/>
    <cellStyle name="Percent [00]" xfId="88"/>
    <cellStyle name="Percent [2]" xfId="89"/>
    <cellStyle name="Percent [2] 2" xfId="157"/>
    <cellStyle name="Percent 2" xfId="158"/>
    <cellStyle name="Percent 3" xfId="159"/>
    <cellStyle name="Percent 4" xfId="160"/>
    <cellStyle name="Percent 5" xfId="161"/>
    <cellStyle name="Percent 6" xfId="162"/>
    <cellStyle name="Percent 7" xfId="163"/>
    <cellStyle name="PrePop Currency (0)" xfId="90"/>
    <cellStyle name="PrePop Currency (0) 2" xfId="164"/>
    <cellStyle name="PrePop Currency (2)" xfId="91"/>
    <cellStyle name="PrePop Units (0)" xfId="92"/>
    <cellStyle name="PrePop Units (0) 2" xfId="165"/>
    <cellStyle name="PrePop Units (1)" xfId="93"/>
    <cellStyle name="PrePop Units (1) 2" xfId="166"/>
    <cellStyle name="PrePop Units (2)" xfId="94"/>
    <cellStyle name="report_title" xfId="95"/>
    <cellStyle name="Text Indent A" xfId="96"/>
    <cellStyle name="Text Indent B" xfId="97"/>
    <cellStyle name="Text Indent C" xfId="98"/>
    <cellStyle name="Title" xfId="99"/>
    <cellStyle name="Total" xfId="100"/>
    <cellStyle name="Virg? [0]_RESULTS" xfId="101"/>
    <cellStyle name="Virg?_RESULTS" xfId="102"/>
    <cellStyle name="Warning Text" xfId="103"/>
    <cellStyle name="เครื่องหมายจุลภาค 2" xfId="104"/>
    <cellStyle name="เครื่องหมายจุลภาค 2 2" xfId="105"/>
    <cellStyle name="เครื่องหมายจุลภาค 2 2 2" xfId="167"/>
    <cellStyle name="เครื่องหมายจุลภาค 2 3" xfId="168"/>
    <cellStyle name="เครื่องหมายจุลภาค 3" xfId="106"/>
    <cellStyle name="เครื่องหมายจุลภาค 3 2" xfId="169"/>
    <cellStyle name="เครื่องหมายจุลภาค 3 3" xfId="181"/>
    <cellStyle name="เครื่องหมายจุลภาค 4" xfId="107"/>
    <cellStyle name="เครื่องหมายจุลภาค 4 2" xfId="182"/>
    <cellStyle name="เครื่องหมายจุลภาค 5" xfId="108"/>
    <cellStyle name="เครื่องหมายจุลภาค 5 2" xfId="183"/>
    <cellStyle name="เครื่องหมายจุลภาค 7" xfId="109"/>
    <cellStyle name="เครื่องหมายจุลภาค 7 2" xfId="170"/>
    <cellStyle name="เครื่องหมายจุลภาค_คิดค่า F" xfId="110"/>
    <cellStyle name="ปกติ 2" xfId="111"/>
    <cellStyle name="ปกติ 2 2" xfId="112"/>
    <cellStyle name="ปกติ 2 3" xfId="171"/>
    <cellStyle name="ปกติ 2_ปรับปรุงอาคารอุตสาหกรรมเกษตรและอาคารแปรรูปปรับราคา พย2557ขาดไฟฟ้า" xfId="172"/>
    <cellStyle name="ปกติ 3" xfId="113"/>
    <cellStyle name="ปกติ 3 2" xfId="114"/>
    <cellStyle name="ปกติ 3 2 2" xfId="173"/>
    <cellStyle name="ปกติ 3 2 3" xfId="184"/>
    <cellStyle name="ปกติ 3_ปรับปรุงอาคารอุตสาหกรรมเกษตรและอาคารแปรรูปปรับราคา พย2557ขาดไฟฟ้า" xfId="174"/>
    <cellStyle name="ปกติ 4" xfId="115"/>
    <cellStyle name="ปกติ 4 2" xfId="175"/>
    <cellStyle name="ปกติ 4 3" xfId="185"/>
    <cellStyle name="ปกติ 5" xfId="116"/>
    <cellStyle name="ปกติ 5 2" xfId="176"/>
    <cellStyle name="ปกติ 6" xfId="117"/>
    <cellStyle name="ปกติ 6 2" xfId="186"/>
    <cellStyle name="ปกติ 7" xfId="202"/>
    <cellStyle name="ปกติ_Sheet2" xfId="118"/>
    <cellStyle name="ปกติ_Sheet3" xfId="119"/>
    <cellStyle name="ปกติ_งวดงาน" xfId="120"/>
    <cellStyle name="ปกติ_ปรับปรุงผิวถนนมหาวิทยาลัย ปรับราคาตาม กชภจ 2" xfId="121"/>
    <cellStyle name="เปอร์เซ็นต์ 2" xfId="122"/>
    <cellStyle name="เปอร์เซ็นต์ 2 2" xfId="177"/>
    <cellStyle name="เปอร์เซ็นต์ 3" xfId="1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28575</xdr:rowOff>
    </xdr:from>
    <xdr:to>
      <xdr:col>1</xdr:col>
      <xdr:colOff>266700</xdr:colOff>
      <xdr:row>14</xdr:row>
      <xdr:rowOff>257175</xdr:rowOff>
    </xdr:to>
    <xdr:sp macro="" textlink="">
      <xdr:nvSpPr>
        <xdr:cNvPr id="9953" name="Rectangle 5"/>
        <xdr:cNvSpPr>
          <a:spLocks noChangeArrowheads="1"/>
        </xdr:cNvSpPr>
      </xdr:nvSpPr>
      <xdr:spPr bwMode="auto">
        <a:xfrm>
          <a:off x="1581150" y="4229100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15</xdr:row>
      <xdr:rowOff>28575</xdr:rowOff>
    </xdr:from>
    <xdr:to>
      <xdr:col>1</xdr:col>
      <xdr:colOff>266700</xdr:colOff>
      <xdr:row>15</xdr:row>
      <xdr:rowOff>257175</xdr:rowOff>
    </xdr:to>
    <xdr:sp macro="" textlink="">
      <xdr:nvSpPr>
        <xdr:cNvPr id="9954" name="Rectangle 7"/>
        <xdr:cNvSpPr>
          <a:spLocks noChangeArrowheads="1"/>
        </xdr:cNvSpPr>
      </xdr:nvSpPr>
      <xdr:spPr bwMode="auto">
        <a:xfrm>
          <a:off x="1581150" y="4524375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16</xdr:row>
      <xdr:rowOff>28575</xdr:rowOff>
    </xdr:from>
    <xdr:to>
      <xdr:col>1</xdr:col>
      <xdr:colOff>266700</xdr:colOff>
      <xdr:row>16</xdr:row>
      <xdr:rowOff>257175</xdr:rowOff>
    </xdr:to>
    <xdr:sp macro="" textlink="">
      <xdr:nvSpPr>
        <xdr:cNvPr id="9955" name="Rectangle 9"/>
        <xdr:cNvSpPr>
          <a:spLocks noChangeArrowheads="1"/>
        </xdr:cNvSpPr>
      </xdr:nvSpPr>
      <xdr:spPr bwMode="auto">
        <a:xfrm>
          <a:off x="1581150" y="4819650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16</xdr:row>
      <xdr:rowOff>76200</xdr:rowOff>
    </xdr:from>
    <xdr:to>
      <xdr:col>1</xdr:col>
      <xdr:colOff>228600</xdr:colOff>
      <xdr:row>16</xdr:row>
      <xdr:rowOff>219075</xdr:rowOff>
    </xdr:to>
    <xdr:sp macro="" textlink="">
      <xdr:nvSpPr>
        <xdr:cNvPr id="9956" name="Line 11"/>
        <xdr:cNvSpPr>
          <a:spLocks noChangeShapeType="1"/>
        </xdr:cNvSpPr>
      </xdr:nvSpPr>
      <xdr:spPr bwMode="auto">
        <a:xfrm flipV="1">
          <a:off x="1609725" y="4867275"/>
          <a:ext cx="1619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1866900</xdr:colOff>
      <xdr:row>0</xdr:row>
      <xdr:rowOff>266700</xdr:rowOff>
    </xdr:from>
    <xdr:to>
      <xdr:col>2</xdr:col>
      <xdr:colOff>2619375</xdr:colOff>
      <xdr:row>5</xdr:row>
      <xdr:rowOff>85725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66700"/>
          <a:ext cx="7524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Desktop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46&#3610;&#3634;&#3591;&#3614;&#3621;&#3637;%20&#3605;&#3629;&#3609;%201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&#3619;&#3623;&#3610;&#3619;&#3623;&#3617;&#3591;&#3634;&#3609;\&#3611;&#3619;&#3632;&#3648;&#3617;&#3636;&#3609;&#3619;&#3634;&#3588;&#3634;&#3605;&#3657;&#3609;&#3607;&#3640;&#3609;\&#3611;&#3619;&#3632;&#3617;&#3641;&#3621;50\&#3614;&#3633;&#3591;&#3591;&#3634;-&#3585;&#3619;&#3632;&#3610;&#3637;&#3656;2.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Desktop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&#3619;&#3623;&#3610;&#3619;&#3623;&#3617;&#3591;&#3634;&#3609;\&#3611;&#3619;&#3632;&#3648;&#3617;&#3636;&#3609;&#3619;&#3634;&#3588;&#3634;&#3605;&#3657;&#3609;&#3607;&#3640;&#3609;\&#3611;&#3619;&#3632;&#3617;&#3641;&#3621;50\&#3614;&#3633;&#3591;&#3591;&#3634;-&#3585;&#3619;&#3632;&#3610;&#3637;&#3656;2.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Desktop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dministrator\Desktop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26;&#3635;&#3648;&#3609;&#3634;&#3586;&#3629;&#3591;%20Pier%20Box%20Girder%20Bridge%20Height%2020%20m%20ma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26;&#3634;&#3618;&#3649;&#3617;&#3656;&#3649;&#3605;&#3591;-&#3613;&#3634;&#3591;(&#3624;&#3641;&#3609;&#3618;&#3660;&#3613;&#3638;&#3585;&#3621;&#3641;&#3585;&#3594;&#3657;&#3634;&#3591;)%20&#3605;&#3629;&#3609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toon\&#3611;&#3619;&#3632;&#3617;&#3641;&#3621;50\&#3611;&#3634;&#3585;&#3607;&#3656;&#3629;1.1(REBIDDING)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toon\&#3611;&#3619;&#3632;&#3617;&#3641;&#3621;50\&#3611;&#3634;&#3585;&#3607;&#3656;&#3629;1.1(REBIDDING)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PANG-NGA-KRABI-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Desktop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PANG-NGA-KRABI-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46&#3610;&#3634;&#3591;&#3614;&#3621;&#3637;%20&#3605;&#3629;&#3609;%201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/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 refreshError="1">
        <row r="26">
          <cell r="G26">
            <v>1.17123048</v>
          </cell>
        </row>
        <row r="27">
          <cell r="G27">
            <v>1.2416378400000001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 refreshError="1">
        <row r="27">
          <cell r="G27">
            <v>1.2416378400000001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orksheet"/>
      <sheetName val="data"/>
    </sheetNames>
    <sheetDataSet>
      <sheetData sheetId="0" refreshError="1"/>
      <sheetData sheetId="1" refreshError="1">
        <row r="8">
          <cell r="L8">
            <v>7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R11">
            <v>1705.86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/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/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ลักเกณฑ์(2หน้า)"/>
      <sheetName val="ต้นทุน(10หน้า)"/>
      <sheetName val="BOQ.(10 หน้า)"/>
      <sheetName val="ค่า F"/>
      <sheetName val="1ระยะขนส่ง"/>
      <sheetName val="2ข้อมูลเบื้องต้น"/>
      <sheetName val="3ข้อมูลวัสดุ-ค่าดำเนิน"/>
      <sheetName val="4ข้อมูลงานCon"/>
      <sheetName val="5ข้อมูลงานไม้แบบ"/>
      <sheetName val="6Remove+Clear"/>
      <sheetName val="7Cut+Soft.R+Hart.R+Uns"/>
      <sheetName val="8Unsui+Soft"/>
      <sheetName val="9EMB."/>
      <sheetName val="10Fil.Islandl+Side"/>
      <sheetName val="11P.B.Fill"/>
      <sheetName val="12Selec+Subbase"/>
      <sheetName val="13Base+Recyc+Scari"/>
      <sheetName val="14Prime+Tack"/>
      <sheetName val="15ASP.Lev."/>
      <sheetName val="16Asphaltic"/>
      <sheetName val="17สะพาน"/>
      <sheetName val="(ไม่เอา)ทางเบี่ยง"/>
      <sheetName val="18สะพาน.ราคารวม"/>
      <sheetName val="19คานอัดแรง"/>
      <sheetName val="20สะพานต่อ"/>
      <sheetName val="21สะพานต่อราคารวม"/>
      <sheetName val="22B.Appro"/>
      <sheetName val="23,24R.C.BOX (2ตัว)"/>
      <sheetName val="25-27RC. PIPE(3หน้า)"/>
      <sheetName val="28,29Slope.Pro+Shot(2หน้า)"/>
      <sheetName val="30Per.Pipe+R.Fill"/>
      <sheetName val="31,32Catch.Baแบบพิเศษ"/>
      <sheetName val="33R.C.Ditch"/>
      <sheetName val="34D.Lining"/>
      <sheetName val="35Retain"/>
      <sheetName val="36Crub"/>
      <sheetName val="37ทางเท้า"/>
      <sheetName val="38SODDING"/>
      <sheetName val="39,40Barr.(2หน้า)"/>
      <sheetName val="41G.POST"/>
      <sheetName val="42หลักกิโล"/>
      <sheetName val="43แผ่นป้าย+เสา"/>
      <sheetName val="44เสาไฟกิ่งคู่"/>
      <sheetName val="45ไฟนีออน"/>
      <sheetName val="46,47ย้ายเสาไฟ(2หน้า)"/>
      <sheetName val="48ไฟ เขียว-แดง"/>
      <sheetName val="49สีตีเส้น+R.Stu+C.Mak"/>
      <sheetName val="50C.mark+Barricade"/>
      <sheetName val="51BUS STOP"/>
      <sheetName val="52ป้ายชั่วคราว+ด่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/>
      <sheetData sheetId="1"/>
      <sheetData sheetId="2"/>
      <sheetData sheetId="3"/>
      <sheetData sheetId="4" refreshError="1">
        <row r="29">
          <cell r="W29">
            <v>112.29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/>
      <sheetData sheetId="1"/>
      <sheetData sheetId="2"/>
      <sheetData sheetId="3"/>
      <sheetData sheetId="4" refreshError="1">
        <row r="29">
          <cell r="W29">
            <v>112.29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 refreshError="1">
        <row r="26">
          <cell r="G26">
            <v>1.17123048</v>
          </cell>
        </row>
        <row r="27">
          <cell r="G27">
            <v>1.2416378400000001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100" zoomScaleSheetLayoutView="100" workbookViewId="0">
      <selection activeCell="D6" sqref="D6"/>
    </sheetView>
  </sheetViews>
  <sheetFormatPr defaultColWidth="9.109375" defaultRowHeight="23.4"/>
  <cols>
    <col min="1" max="1" width="23.109375" style="61" customWidth="1"/>
    <col min="2" max="2" width="50.33203125" style="61" customWidth="1"/>
    <col min="3" max="3" width="7" style="55" customWidth="1"/>
    <col min="4" max="4" width="11.5546875" style="65" customWidth="1"/>
    <col min="5" max="5" width="7" style="55" customWidth="1"/>
    <col min="6" max="16384" width="9.109375" style="61"/>
  </cols>
  <sheetData>
    <row r="1" spans="1:10" s="48" customFormat="1" ht="24">
      <c r="A1" s="325" t="s">
        <v>41</v>
      </c>
      <c r="B1" s="325"/>
      <c r="C1" s="325"/>
      <c r="D1" s="325"/>
      <c r="E1" s="46"/>
      <c r="F1" s="47"/>
      <c r="G1" s="47"/>
    </row>
    <row r="2" spans="1:10" s="48" customFormat="1" ht="22.2">
      <c r="A2" s="49"/>
      <c r="B2" s="47"/>
      <c r="C2" s="46"/>
      <c r="D2" s="50"/>
      <c r="E2" s="46"/>
      <c r="F2" s="47"/>
      <c r="G2" s="47"/>
    </row>
    <row r="3" spans="1:10" s="169" customFormat="1" ht="25.8">
      <c r="A3" s="46" t="s">
        <v>286</v>
      </c>
      <c r="B3" s="166"/>
      <c r="C3" s="165"/>
      <c r="D3" s="167"/>
      <c r="E3" s="165"/>
      <c r="F3" s="168"/>
      <c r="G3" s="168"/>
    </row>
    <row r="4" spans="1:10" s="52" customFormat="1" ht="25.8">
      <c r="A4" s="46" t="s">
        <v>254</v>
      </c>
      <c r="B4" s="47"/>
      <c r="C4" s="46"/>
      <c r="D4" s="50"/>
      <c r="E4" s="46"/>
      <c r="F4" s="51"/>
      <c r="G4" s="51"/>
    </row>
    <row r="5" spans="1:10" s="54" customFormat="1" ht="21">
      <c r="A5" s="46" t="s">
        <v>102</v>
      </c>
      <c r="B5" s="47"/>
      <c r="C5" s="46"/>
      <c r="D5" s="50"/>
      <c r="E5" s="46"/>
      <c r="F5" s="53"/>
      <c r="G5" s="53"/>
    </row>
    <row r="6" spans="1:10" s="55" customFormat="1">
      <c r="A6" s="46"/>
      <c r="B6" s="47"/>
      <c r="C6" s="46"/>
      <c r="D6" s="50"/>
      <c r="E6" s="46"/>
      <c r="F6" s="46"/>
      <c r="G6" s="46"/>
    </row>
    <row r="7" spans="1:10" s="55" customFormat="1">
      <c r="A7" s="46" t="s">
        <v>42</v>
      </c>
      <c r="B7" s="46" t="s">
        <v>43</v>
      </c>
      <c r="C7" s="46" t="s">
        <v>10</v>
      </c>
      <c r="D7" s="56">
        <v>24</v>
      </c>
      <c r="E7" s="46" t="s">
        <v>38</v>
      </c>
      <c r="F7" s="46"/>
      <c r="G7" s="46"/>
    </row>
    <row r="8" spans="1:10" s="55" customFormat="1">
      <c r="A8" s="47"/>
      <c r="B8" s="46" t="s">
        <v>44</v>
      </c>
      <c r="C8" s="46" t="s">
        <v>10</v>
      </c>
      <c r="D8" s="56">
        <v>8</v>
      </c>
      <c r="E8" s="46" t="s">
        <v>38</v>
      </c>
      <c r="F8" s="46"/>
      <c r="G8" s="46"/>
    </row>
    <row r="9" spans="1:10" s="55" customFormat="1">
      <c r="A9" s="47"/>
      <c r="B9" s="46" t="s">
        <v>46</v>
      </c>
      <c r="C9" s="46" t="s">
        <v>10</v>
      </c>
      <c r="D9" s="56" t="s">
        <v>87</v>
      </c>
      <c r="E9" s="46" t="s">
        <v>38</v>
      </c>
      <c r="F9" s="46"/>
      <c r="G9" s="46"/>
    </row>
    <row r="10" spans="1:10" s="58" customFormat="1" ht="21">
      <c r="A10" s="47"/>
      <c r="B10" s="46" t="s">
        <v>47</v>
      </c>
      <c r="C10" s="46" t="s">
        <v>10</v>
      </c>
      <c r="D10" s="56">
        <v>4</v>
      </c>
      <c r="E10" s="46" t="s">
        <v>38</v>
      </c>
      <c r="F10" s="57"/>
      <c r="G10" s="57"/>
    </row>
    <row r="11" spans="1:10" s="58" customFormat="1" ht="25.8">
      <c r="A11" s="47"/>
      <c r="B11" s="46" t="s">
        <v>48</v>
      </c>
      <c r="C11" s="46" t="s">
        <v>10</v>
      </c>
      <c r="D11" s="56" t="s">
        <v>87</v>
      </c>
      <c r="E11" s="46" t="s">
        <v>38</v>
      </c>
      <c r="F11" s="57"/>
      <c r="G11" s="57"/>
      <c r="J11" s="59"/>
    </row>
    <row r="12" spans="1:10" s="55" customFormat="1">
      <c r="A12" s="47"/>
      <c r="B12" s="46" t="s">
        <v>49</v>
      </c>
      <c r="C12" s="46" t="s">
        <v>10</v>
      </c>
      <c r="D12" s="56">
        <v>36</v>
      </c>
      <c r="E12" s="46" t="s">
        <v>38</v>
      </c>
      <c r="F12" s="46"/>
      <c r="G12" s="46"/>
      <c r="J12" s="60"/>
    </row>
    <row r="13" spans="1:10" s="55" customFormat="1">
      <c r="A13" s="46" t="s">
        <v>50</v>
      </c>
      <c r="B13" s="46" t="s">
        <v>51</v>
      </c>
      <c r="C13" s="46" t="s">
        <v>10</v>
      </c>
      <c r="D13" s="50" t="s">
        <v>45</v>
      </c>
      <c r="E13" s="46" t="s">
        <v>38</v>
      </c>
      <c r="F13" s="46"/>
      <c r="G13" s="46"/>
    </row>
    <row r="14" spans="1:10" s="55" customFormat="1">
      <c r="A14" s="46"/>
      <c r="B14" s="46" t="s">
        <v>52</v>
      </c>
      <c r="C14" s="46" t="s">
        <v>10</v>
      </c>
      <c r="D14" s="50" t="s">
        <v>45</v>
      </c>
      <c r="E14" s="46" t="s">
        <v>38</v>
      </c>
      <c r="F14" s="46"/>
      <c r="G14" s="46"/>
    </row>
    <row r="15" spans="1:10" s="55" customFormat="1">
      <c r="A15" s="47"/>
      <c r="B15" s="46" t="s">
        <v>53</v>
      </c>
      <c r="C15" s="46"/>
      <c r="D15" s="50"/>
      <c r="E15" s="46"/>
      <c r="F15" s="46"/>
      <c r="G15" s="46"/>
    </row>
    <row r="16" spans="1:10" s="55" customFormat="1">
      <c r="A16" s="46" t="s">
        <v>54</v>
      </c>
      <c r="B16" s="46" t="s">
        <v>55</v>
      </c>
      <c r="C16" s="46"/>
      <c r="D16" s="50"/>
      <c r="E16" s="46"/>
      <c r="F16" s="46"/>
      <c r="G16" s="46"/>
    </row>
    <row r="17" spans="1:9" s="55" customFormat="1">
      <c r="A17" s="47"/>
      <c r="B17" s="46" t="s">
        <v>56</v>
      </c>
      <c r="C17" s="46"/>
      <c r="D17" s="50"/>
      <c r="E17" s="46"/>
      <c r="F17" s="46"/>
      <c r="G17" s="46"/>
    </row>
    <row r="18" spans="1:9" s="55" customFormat="1">
      <c r="A18" s="46" t="s">
        <v>57</v>
      </c>
      <c r="B18" s="46" t="s">
        <v>58</v>
      </c>
      <c r="C18" s="46" t="s">
        <v>10</v>
      </c>
      <c r="D18" s="56" t="s">
        <v>87</v>
      </c>
      <c r="E18" s="46" t="s">
        <v>14</v>
      </c>
      <c r="F18" s="46"/>
      <c r="G18" s="46"/>
    </row>
    <row r="19" spans="1:9">
      <c r="A19" s="47"/>
      <c r="B19" s="46" t="s">
        <v>59</v>
      </c>
      <c r="C19" s="46" t="s">
        <v>10</v>
      </c>
      <c r="D19" s="56" t="s">
        <v>87</v>
      </c>
      <c r="E19" s="46" t="s">
        <v>14</v>
      </c>
      <c r="F19" s="47"/>
      <c r="G19" s="47"/>
      <c r="I19" s="62">
        <f>SUM(D18:D18)</f>
        <v>0</v>
      </c>
    </row>
    <row r="20" spans="1:9">
      <c r="A20" s="46" t="s">
        <v>60</v>
      </c>
      <c r="B20" s="46" t="s">
        <v>61</v>
      </c>
      <c r="C20" s="46" t="s">
        <v>10</v>
      </c>
      <c r="D20" s="56" t="s">
        <v>45</v>
      </c>
      <c r="E20" s="46" t="s">
        <v>37</v>
      </c>
      <c r="F20" s="47"/>
      <c r="G20" s="47"/>
    </row>
    <row r="21" spans="1:9">
      <c r="A21" s="46" t="s">
        <v>62</v>
      </c>
      <c r="B21" s="46" t="s">
        <v>63</v>
      </c>
      <c r="C21" s="46"/>
      <c r="D21" s="50"/>
      <c r="E21" s="46"/>
      <c r="F21" s="47"/>
      <c r="G21" s="47"/>
    </row>
    <row r="22" spans="1:9">
      <c r="A22" s="46"/>
      <c r="B22" s="46" t="s">
        <v>64</v>
      </c>
      <c r="C22" s="46"/>
      <c r="D22" s="50"/>
      <c r="E22" s="46"/>
      <c r="F22" s="47"/>
      <c r="G22" s="47"/>
    </row>
    <row r="23" spans="1:9">
      <c r="A23" s="46" t="s">
        <v>65</v>
      </c>
      <c r="B23" s="46" t="s">
        <v>66</v>
      </c>
      <c r="C23" s="46"/>
      <c r="D23" s="50"/>
      <c r="E23" s="46"/>
      <c r="F23" s="47"/>
      <c r="G23" s="47"/>
    </row>
    <row r="24" spans="1:9">
      <c r="A24" s="46"/>
      <c r="B24" s="46"/>
      <c r="C24" s="46"/>
      <c r="D24" s="50"/>
      <c r="E24" s="46"/>
      <c r="F24" s="47"/>
      <c r="G24" s="47"/>
    </row>
    <row r="25" spans="1:9">
      <c r="A25" s="46"/>
      <c r="B25" s="46"/>
      <c r="C25" s="46"/>
      <c r="D25" s="50"/>
      <c r="E25" s="46"/>
      <c r="F25" s="47"/>
      <c r="G25" s="47"/>
    </row>
    <row r="26" spans="1:9">
      <c r="A26" s="46"/>
      <c r="B26" s="46"/>
      <c r="C26" s="46"/>
      <c r="D26" s="50"/>
      <c r="E26" s="46"/>
      <c r="F26" s="47"/>
      <c r="G26" s="47"/>
    </row>
    <row r="27" spans="1:9">
      <c r="A27" s="46"/>
      <c r="B27" s="46"/>
      <c r="C27" s="46"/>
      <c r="D27" s="50"/>
      <c r="E27" s="46"/>
      <c r="F27" s="47"/>
      <c r="G27" s="47"/>
    </row>
    <row r="28" spans="1:9">
      <c r="A28" s="63"/>
      <c r="B28" s="47"/>
      <c r="C28" s="46"/>
      <c r="D28" s="50"/>
      <c r="E28" s="46"/>
      <c r="F28" s="47"/>
      <c r="G28" s="47"/>
    </row>
    <row r="29" spans="1:9">
      <c r="A29" s="64"/>
      <c r="B29" s="46" t="s">
        <v>67</v>
      </c>
      <c r="D29" s="50"/>
      <c r="E29" s="46"/>
      <c r="F29" s="47"/>
      <c r="G29" s="47"/>
    </row>
    <row r="30" spans="1:9">
      <c r="A30" s="47"/>
      <c r="B30" s="46" t="s">
        <v>68</v>
      </c>
      <c r="D30" s="50"/>
      <c r="E30" s="46"/>
      <c r="F30" s="47"/>
      <c r="G30" s="47"/>
    </row>
    <row r="31" spans="1:9">
      <c r="A31" s="47"/>
      <c r="B31" s="47"/>
      <c r="C31" s="46"/>
      <c r="D31" s="50"/>
      <c r="E31" s="46"/>
      <c r="F31" s="47"/>
      <c r="G31" s="47"/>
    </row>
    <row r="32" spans="1:9">
      <c r="A32" s="47"/>
      <c r="B32" s="47"/>
      <c r="C32" s="46"/>
      <c r="D32" s="50"/>
      <c r="E32" s="46"/>
      <c r="F32" s="47"/>
      <c r="G32" s="47"/>
    </row>
    <row r="33" spans="1:7">
      <c r="A33" s="47"/>
      <c r="B33" s="47"/>
      <c r="C33" s="46"/>
      <c r="D33" s="50"/>
      <c r="E33" s="46"/>
      <c r="F33" s="47"/>
      <c r="G33" s="47"/>
    </row>
    <row r="34" spans="1:7">
      <c r="A34" s="47"/>
      <c r="B34" s="47"/>
      <c r="C34" s="46"/>
      <c r="D34" s="50"/>
      <c r="E34" s="46"/>
      <c r="F34" s="47"/>
      <c r="G34" s="47"/>
    </row>
    <row r="35" spans="1:7">
      <c r="A35" s="47"/>
      <c r="B35" s="47"/>
      <c r="C35" s="46"/>
      <c r="D35" s="50"/>
      <c r="E35" s="46"/>
      <c r="F35" s="47"/>
      <c r="G35" s="47"/>
    </row>
    <row r="36" spans="1:7">
      <c r="A36" s="47"/>
      <c r="B36" s="47"/>
      <c r="C36" s="46"/>
      <c r="D36" s="50"/>
      <c r="E36" s="46"/>
      <c r="F36" s="47"/>
      <c r="G36" s="47"/>
    </row>
    <row r="37" spans="1:7">
      <c r="A37" s="47"/>
      <c r="B37" s="47"/>
      <c r="C37" s="46"/>
      <c r="D37" s="50"/>
      <c r="E37" s="46"/>
      <c r="F37" s="47"/>
      <c r="G37" s="47"/>
    </row>
    <row r="38" spans="1:7">
      <c r="A38" s="47"/>
      <c r="B38" s="47"/>
      <c r="C38" s="46"/>
      <c r="D38" s="50"/>
      <c r="E38" s="46"/>
      <c r="F38" s="47"/>
      <c r="G38" s="47"/>
    </row>
    <row r="39" spans="1:7">
      <c r="A39" s="47"/>
      <c r="B39" s="47"/>
      <c r="C39" s="46"/>
      <c r="D39" s="50"/>
      <c r="E39" s="46"/>
      <c r="F39" s="47"/>
      <c r="G39" s="47"/>
    </row>
    <row r="40" spans="1:7">
      <c r="A40" s="47"/>
      <c r="B40" s="47"/>
      <c r="C40" s="46"/>
      <c r="D40" s="50"/>
      <c r="E40" s="46"/>
      <c r="F40" s="47"/>
      <c r="G40" s="47"/>
    </row>
    <row r="41" spans="1:7">
      <c r="A41" s="47"/>
      <c r="B41" s="47"/>
      <c r="C41" s="46"/>
      <c r="D41" s="50"/>
      <c r="E41" s="46"/>
      <c r="F41" s="47"/>
      <c r="G41" s="47"/>
    </row>
  </sheetData>
  <mergeCells count="1">
    <mergeCell ref="A1:D1"/>
  </mergeCells>
  <printOptions horizontalCentered="1"/>
  <pageMargins left="0.51181102362204722" right="0.11811023622047245" top="0.51181102362204722" bottom="0.19685039370078741" header="0.39370078740157483" footer="0.39370078740157483"/>
  <pageSetup paperSize="9" scale="88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tabSelected="1" view="pageBreakPreview" topLeftCell="A4" zoomScaleNormal="100" zoomScaleSheetLayoutView="100" workbookViewId="0">
      <selection activeCell="G21" sqref="G21"/>
    </sheetView>
  </sheetViews>
  <sheetFormatPr defaultRowHeight="19.8"/>
  <cols>
    <col min="1" max="1" width="9.33203125" customWidth="1"/>
    <col min="2" max="2" width="51.109375" customWidth="1"/>
    <col min="3" max="3" width="16.33203125" customWidth="1"/>
    <col min="4" max="4" width="11.109375" customWidth="1"/>
    <col min="5" max="5" width="13.109375" style="67" customWidth="1"/>
    <col min="6" max="6" width="11.33203125" bestFit="1" customWidth="1"/>
  </cols>
  <sheetData>
    <row r="1" spans="1:5" ht="20.399999999999999">
      <c r="A1" s="328" t="s">
        <v>79</v>
      </c>
      <c r="B1" s="328"/>
      <c r="C1" s="328"/>
      <c r="D1" s="328"/>
    </row>
    <row r="2" spans="1:5" ht="20.399999999999999">
      <c r="A2" s="71" t="s">
        <v>253</v>
      </c>
      <c r="B2" s="71"/>
      <c r="C2" s="71"/>
      <c r="D2" s="71"/>
    </row>
    <row r="3" spans="1:5" ht="20.399999999999999">
      <c r="A3" s="12" t="s">
        <v>117</v>
      </c>
      <c r="B3" s="13"/>
      <c r="C3" s="13"/>
      <c r="D3" s="13"/>
    </row>
    <row r="4" spans="1:5" ht="20.399999999999999">
      <c r="A4" s="12" t="s">
        <v>35</v>
      </c>
      <c r="B4" s="13"/>
      <c r="C4" s="13"/>
      <c r="D4" s="13"/>
    </row>
    <row r="5" spans="1:5" ht="20.399999999999999">
      <c r="A5" s="332" t="s">
        <v>284</v>
      </c>
      <c r="B5" s="332"/>
      <c r="C5" s="332"/>
      <c r="D5" s="13"/>
    </row>
    <row r="6" spans="1:5" ht="21" customHeight="1">
      <c r="A6" s="323" t="s">
        <v>285</v>
      </c>
      <c r="B6" s="324"/>
      <c r="C6" s="13"/>
      <c r="D6" s="13"/>
    </row>
    <row r="7" spans="1:5">
      <c r="A7" s="329" t="s">
        <v>5</v>
      </c>
      <c r="B7" s="329" t="s">
        <v>6</v>
      </c>
      <c r="C7" s="14" t="s">
        <v>28</v>
      </c>
      <c r="D7" s="14" t="s">
        <v>9</v>
      </c>
    </row>
    <row r="8" spans="1:5" ht="20.399999999999999" thickBot="1">
      <c r="A8" s="330"/>
      <c r="B8" s="330"/>
      <c r="C8" s="15" t="s">
        <v>29</v>
      </c>
      <c r="D8" s="15" t="s">
        <v>30</v>
      </c>
    </row>
    <row r="9" spans="1:5" s="78" customFormat="1" ht="20.399999999999999" thickTop="1">
      <c r="A9" s="16">
        <v>1</v>
      </c>
      <c r="B9" s="162" t="s">
        <v>256</v>
      </c>
      <c r="C9" s="163">
        <f>'ปร.5 (ก)'!C13+'ปร.5 (ก)'!C14+'ปร.5 (ก)'!C15</f>
        <v>1405736.47905044</v>
      </c>
      <c r="D9" s="18">
        <f>C9*100/$C$14</f>
        <v>99.999999999999986</v>
      </c>
      <c r="E9" s="67"/>
    </row>
    <row r="10" spans="1:5" s="78" customFormat="1">
      <c r="A10" s="16"/>
      <c r="B10" s="161"/>
      <c r="C10" s="147"/>
      <c r="D10" s="18"/>
      <c r="E10" s="67"/>
    </row>
    <row r="11" spans="1:5" s="78" customFormat="1">
      <c r="A11" s="16"/>
      <c r="B11" s="127"/>
      <c r="C11" s="147"/>
      <c r="D11" s="18"/>
      <c r="E11" s="101"/>
    </row>
    <row r="12" spans="1:5" s="78" customFormat="1">
      <c r="A12" s="16"/>
      <c r="B12" s="97"/>
      <c r="C12" s="45"/>
      <c r="D12" s="18"/>
      <c r="E12" s="67"/>
    </row>
    <row r="13" spans="1:5" s="78" customFormat="1" ht="20.399999999999999">
      <c r="A13" s="16"/>
      <c r="B13" s="88"/>
      <c r="C13" s="45"/>
      <c r="D13" s="18"/>
      <c r="E13" s="67"/>
    </row>
    <row r="14" spans="1:5" s="78" customFormat="1" ht="21" thickBot="1">
      <c r="A14" s="74"/>
      <c r="B14" s="75" t="s">
        <v>83</v>
      </c>
      <c r="C14" s="76">
        <f>SUM(C9:C13)</f>
        <v>1405736.47905044</v>
      </c>
      <c r="D14" s="77">
        <f>SUM(D9:D13)</f>
        <v>99.999999999999986</v>
      </c>
      <c r="E14" s="67"/>
    </row>
    <row r="15" spans="1:5" s="78" customFormat="1" ht="21" thickTop="1">
      <c r="A15" s="74"/>
      <c r="B15" s="75" t="s">
        <v>263</v>
      </c>
      <c r="C15" s="85">
        <f>C14*0.3044</f>
        <v>427906.18422295392</v>
      </c>
      <c r="D15" s="86"/>
      <c r="E15" s="67"/>
    </row>
    <row r="16" spans="1:5" s="78" customFormat="1" ht="20.399999999999999">
      <c r="A16" s="96"/>
      <c r="B16" s="75"/>
      <c r="C16" s="85"/>
      <c r="D16" s="96"/>
      <c r="E16" s="101"/>
    </row>
    <row r="17" spans="1:13" s="78" customFormat="1">
      <c r="A17" s="16">
        <v>2</v>
      </c>
      <c r="B17" s="97" t="s">
        <v>99</v>
      </c>
      <c r="C17" s="147">
        <f>'ปร.5 (ข)'!C13</f>
        <v>3000</v>
      </c>
      <c r="D17" s="18"/>
      <c r="E17" s="67"/>
    </row>
    <row r="18" spans="1:13" s="78" customFormat="1">
      <c r="A18" s="148"/>
      <c r="B18" s="149" t="s">
        <v>100</v>
      </c>
      <c r="C18" s="150">
        <f>C17*0.07</f>
        <v>210.00000000000003</v>
      </c>
      <c r="D18" s="151"/>
      <c r="E18" s="67"/>
    </row>
    <row r="19" spans="1:13" s="78" customFormat="1" ht="20.399999999999999">
      <c r="A19" s="87"/>
      <c r="B19" s="79"/>
      <c r="C19" s="80"/>
      <c r="D19" s="81"/>
      <c r="E19" s="67"/>
    </row>
    <row r="20" spans="1:13" ht="23.4">
      <c r="A20" s="333" t="s">
        <v>81</v>
      </c>
      <c r="B20" s="84" t="s">
        <v>80</v>
      </c>
      <c r="C20" s="98">
        <f>SUM(C14+C15+C17+C18)</f>
        <v>1836852.6632733939</v>
      </c>
      <c r="D20" s="82"/>
      <c r="E20" s="101"/>
      <c r="F20" s="92"/>
    </row>
    <row r="21" spans="1:13" ht="24" thickBot="1">
      <c r="A21" s="334"/>
      <c r="B21" s="41" t="s">
        <v>82</v>
      </c>
      <c r="C21" s="72"/>
      <c r="D21" s="73"/>
    </row>
    <row r="22" spans="1:13" s="109" customFormat="1" ht="23.25" customHeight="1" thickTop="1">
      <c r="A22" s="102" t="s">
        <v>33</v>
      </c>
      <c r="B22" s="103" t="str">
        <f>BAHTTEXT(C20)</f>
        <v>หนึ่งล้านแปดแสนสามหมื่นหกพันแปดร้อยห้าสิบสองบาทหกสิบหกสตางค์</v>
      </c>
      <c r="C22" s="103"/>
      <c r="D22" s="104"/>
      <c r="E22" s="105"/>
      <c r="F22" s="106"/>
      <c r="G22" s="107"/>
      <c r="H22" s="108"/>
      <c r="I22" s="108"/>
    </row>
    <row r="23" spans="1:13">
      <c r="A23" s="28"/>
      <c r="B23" s="28"/>
      <c r="C23" s="39"/>
      <c r="D23" s="29"/>
      <c r="E23" s="100"/>
      <c r="F23" s="28"/>
    </row>
    <row r="24" spans="1:13">
      <c r="A24" s="28"/>
      <c r="B24" s="28"/>
      <c r="C24" s="39"/>
      <c r="D24" s="29"/>
      <c r="E24" s="100"/>
      <c r="F24" s="28"/>
    </row>
    <row r="25" spans="1:13">
      <c r="A25" s="28"/>
      <c r="B25" s="28"/>
      <c r="C25" s="39"/>
      <c r="D25" s="29"/>
      <c r="E25" s="100"/>
      <c r="F25" s="28"/>
    </row>
    <row r="26" spans="1:13" s="68" customFormat="1">
      <c r="A26" s="66"/>
      <c r="B26" s="66"/>
      <c r="C26" s="66"/>
      <c r="D26" s="66"/>
      <c r="E26"/>
      <c r="F26"/>
      <c r="J26" s="69"/>
      <c r="L26" s="69"/>
      <c r="M26" s="69"/>
    </row>
    <row r="27" spans="1:13" s="68" customFormat="1">
      <c r="A27" s="66"/>
      <c r="B27" s="326" t="s">
        <v>97</v>
      </c>
      <c r="C27" s="327"/>
      <c r="D27" s="327"/>
      <c r="E27" s="327"/>
      <c r="F27"/>
      <c r="J27" s="69"/>
      <c r="L27" s="69"/>
      <c r="M27" s="69"/>
    </row>
    <row r="28" spans="1:13" s="68" customFormat="1">
      <c r="A28" s="66"/>
      <c r="B28" s="326" t="s">
        <v>261</v>
      </c>
      <c r="C28" s="327"/>
      <c r="D28" s="327"/>
      <c r="E28" s="327"/>
      <c r="F28"/>
      <c r="J28" s="69"/>
      <c r="L28" s="69"/>
      <c r="M28" s="69"/>
    </row>
    <row r="29" spans="1:13" s="145" customFormat="1">
      <c r="A29" s="66"/>
      <c r="B29" s="326" t="s">
        <v>96</v>
      </c>
      <c r="C29" s="326"/>
      <c r="D29" s="327"/>
      <c r="E29" s="327"/>
      <c r="F29" s="5"/>
    </row>
    <row r="30" spans="1:13" s="68" customFormat="1">
      <c r="A30" s="66"/>
      <c r="B30" s="66"/>
      <c r="C30" s="66"/>
      <c r="D30" s="66"/>
      <c r="E30" s="67"/>
      <c r="F30"/>
      <c r="J30" s="69"/>
      <c r="L30" s="69"/>
      <c r="M30" s="69"/>
    </row>
    <row r="31" spans="1:13" s="68" customFormat="1">
      <c r="A31" s="66" t="s">
        <v>70</v>
      </c>
      <c r="B31" s="66" t="s">
        <v>71</v>
      </c>
      <c r="C31" s="66"/>
      <c r="D31" s="66"/>
      <c r="E31"/>
      <c r="F31"/>
      <c r="J31" s="69"/>
      <c r="L31" s="69"/>
      <c r="M31" s="69"/>
    </row>
    <row r="32" spans="1:13" s="68" customFormat="1">
      <c r="A32" s="66"/>
      <c r="B32" s="66" t="s">
        <v>262</v>
      </c>
      <c r="C32" s="66"/>
      <c r="D32" s="146"/>
      <c r="E32"/>
      <c r="F32"/>
      <c r="J32" s="69"/>
    </row>
    <row r="33" spans="1:13" s="68" customFormat="1" ht="21" customHeight="1">
      <c r="A33" s="66"/>
      <c r="B33" s="70" t="s">
        <v>72</v>
      </c>
      <c r="C33" s="70"/>
      <c r="D33" s="66"/>
      <c r="E33"/>
      <c r="F33" s="5"/>
    </row>
    <row r="34" spans="1:13">
      <c r="A34" s="331"/>
      <c r="B34" s="331"/>
      <c r="C34" s="331"/>
      <c r="D34" s="331"/>
      <c r="E34" s="331"/>
      <c r="F34" s="331"/>
    </row>
    <row r="35" spans="1:13">
      <c r="A35" s="17"/>
      <c r="B35" s="17"/>
      <c r="C35" s="17"/>
      <c r="D35" s="17"/>
    </row>
    <row r="36" spans="1:13">
      <c r="A36" s="11"/>
      <c r="B36" s="11"/>
      <c r="C36" s="11"/>
      <c r="D36" s="11"/>
    </row>
    <row r="38" spans="1:13" s="68" customFormat="1">
      <c r="A38" s="66"/>
      <c r="B38" s="326"/>
      <c r="C38" s="327"/>
      <c r="D38" s="327"/>
      <c r="E38" s="327"/>
      <c r="F38"/>
      <c r="J38" s="69"/>
      <c r="L38" s="69"/>
      <c r="M38" s="69"/>
    </row>
    <row r="39" spans="1:13" s="68" customFormat="1">
      <c r="A39" s="66"/>
      <c r="B39" s="326"/>
      <c r="C39" s="327"/>
      <c r="D39" s="327"/>
      <c r="E39" s="327"/>
      <c r="F39"/>
      <c r="J39" s="69"/>
      <c r="L39" s="69"/>
      <c r="M39" s="69"/>
    </row>
    <row r="40" spans="1:13" s="145" customFormat="1">
      <c r="A40" s="66"/>
      <c r="B40" s="326"/>
      <c r="C40" s="326"/>
      <c r="D40" s="327"/>
      <c r="E40" s="327"/>
      <c r="F40" s="5"/>
    </row>
    <row r="41" spans="1:13" s="68" customFormat="1">
      <c r="A41" s="66"/>
      <c r="B41" s="66"/>
      <c r="C41" s="66"/>
      <c r="D41" s="66"/>
      <c r="E41" s="67"/>
      <c r="F41"/>
      <c r="J41" s="69"/>
      <c r="L41" s="69"/>
      <c r="M41" s="69"/>
    </row>
    <row r="42" spans="1:13" s="68" customFormat="1">
      <c r="A42" s="66"/>
      <c r="B42" s="66"/>
      <c r="C42" s="66"/>
      <c r="D42" s="66"/>
      <c r="E42"/>
      <c r="F42"/>
      <c r="J42" s="69"/>
      <c r="L42" s="69"/>
      <c r="M42" s="69"/>
    </row>
    <row r="43" spans="1:13" s="68" customFormat="1">
      <c r="A43" s="66"/>
      <c r="B43" s="66"/>
      <c r="C43" s="66"/>
      <c r="D43" s="146"/>
      <c r="E43"/>
      <c r="F43"/>
      <c r="J43" s="69"/>
    </row>
    <row r="44" spans="1:13" s="68" customFormat="1" ht="21" customHeight="1">
      <c r="A44" s="66"/>
      <c r="B44" s="70"/>
      <c r="C44" s="70"/>
      <c r="D44" s="66"/>
      <c r="E44"/>
      <c r="F44" s="5"/>
    </row>
  </sheetData>
  <mergeCells count="12">
    <mergeCell ref="B38:E38"/>
    <mergeCell ref="B39:E39"/>
    <mergeCell ref="B40:E40"/>
    <mergeCell ref="A1:D1"/>
    <mergeCell ref="A7:A8"/>
    <mergeCell ref="B7:B8"/>
    <mergeCell ref="A34:F34"/>
    <mergeCell ref="A5:C5"/>
    <mergeCell ref="A20:A21"/>
    <mergeCell ref="B27:E27"/>
    <mergeCell ref="B28:E28"/>
    <mergeCell ref="B29:E29"/>
  </mergeCells>
  <phoneticPr fontId="2" type="noConversion"/>
  <pageMargins left="0.74803149606299213" right="0.74803149606299213" top="0.59055118110236227" bottom="0.15748031496062992" header="0.39370078740157483" footer="0.27559055118110237"/>
  <pageSetup paperSize="9" orientation="portrait" r:id="rId1"/>
  <headerFooter alignWithMargins="0">
    <oddHeader>&amp;Rแบบ ปร.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view="pageBreakPreview" topLeftCell="A10" zoomScaleNormal="100" zoomScaleSheetLayoutView="100" workbookViewId="0">
      <selection activeCell="B19" sqref="B19:B21"/>
    </sheetView>
  </sheetViews>
  <sheetFormatPr defaultRowHeight="13.2"/>
  <cols>
    <col min="1" max="1" width="8" customWidth="1"/>
    <col min="2" max="2" width="30.33203125" customWidth="1"/>
    <col min="3" max="3" width="16" customWidth="1"/>
    <col min="4" max="4" width="9.5546875" customWidth="1"/>
    <col min="5" max="5" width="16" customWidth="1"/>
    <col min="6" max="6" width="8.109375" customWidth="1"/>
    <col min="7" max="7" width="27.6640625" customWidth="1"/>
    <col min="8" max="8" width="19" bestFit="1" customWidth="1"/>
    <col min="9" max="9" width="12.88671875" bestFit="1" customWidth="1"/>
  </cols>
  <sheetData>
    <row r="1" spans="1:10" ht="23.4">
      <c r="A1" s="338" t="s">
        <v>17</v>
      </c>
      <c r="B1" s="338"/>
      <c r="C1" s="338"/>
      <c r="D1" s="338"/>
      <c r="E1" s="338"/>
      <c r="F1" s="338"/>
      <c r="G1" s="3"/>
      <c r="H1" s="3"/>
      <c r="I1" s="3"/>
      <c r="J1" s="3"/>
    </row>
    <row r="2" spans="1:10" ht="23.4">
      <c r="A2" s="339" t="s">
        <v>25</v>
      </c>
      <c r="B2" s="339"/>
      <c r="C2" s="339"/>
      <c r="D2" s="339"/>
      <c r="E2" s="339"/>
      <c r="F2" s="339"/>
      <c r="G2" s="1"/>
      <c r="H2" s="1"/>
      <c r="I2" s="1"/>
      <c r="J2" s="1"/>
    </row>
    <row r="3" spans="1:10" ht="19.8">
      <c r="A3" s="340" t="s">
        <v>252</v>
      </c>
      <c r="B3" s="340"/>
      <c r="C3" s="340"/>
      <c r="D3" s="340"/>
      <c r="E3" s="340"/>
      <c r="F3" s="340"/>
      <c r="G3" s="1"/>
      <c r="H3" s="1"/>
      <c r="I3" s="1"/>
      <c r="J3" s="3"/>
    </row>
    <row r="4" spans="1:10" ht="19.8">
      <c r="A4" s="335" t="s">
        <v>116</v>
      </c>
      <c r="B4" s="335"/>
      <c r="C4" s="335"/>
      <c r="D4" s="335"/>
      <c r="E4" s="335"/>
      <c r="F4" s="335"/>
      <c r="G4" s="1"/>
      <c r="H4" s="1"/>
      <c r="I4" s="1"/>
      <c r="J4" s="1"/>
    </row>
    <row r="5" spans="1:10" ht="19.8">
      <c r="A5" s="335" t="str">
        <f>ปร.6!A3</f>
        <v>สถานที่ก่อสร้าง  มหาวิทยาลัยเทคโนโลยีราชมงคลศรีวิชัย วิทยาเขตทุ่งใหญ่</v>
      </c>
      <c r="B5" s="335"/>
      <c r="C5" s="335"/>
      <c r="D5" s="335"/>
      <c r="E5" s="335"/>
      <c r="F5" s="335"/>
      <c r="G5" s="3"/>
      <c r="H5" s="3"/>
      <c r="I5" s="3"/>
      <c r="J5" s="3"/>
    </row>
    <row r="6" spans="1:10" ht="19.8">
      <c r="A6" s="335" t="s">
        <v>32</v>
      </c>
      <c r="B6" s="335"/>
      <c r="C6" s="335"/>
      <c r="D6" s="335"/>
      <c r="E6" s="335"/>
      <c r="F6" s="335"/>
      <c r="G6" s="1"/>
      <c r="H6" s="1"/>
      <c r="I6" s="2"/>
      <c r="J6" s="4"/>
    </row>
    <row r="7" spans="1:10" ht="19.8">
      <c r="A7" s="335" t="s">
        <v>4</v>
      </c>
      <c r="B7" s="335"/>
      <c r="C7" s="335"/>
      <c r="D7" s="335"/>
      <c r="E7" s="335"/>
      <c r="F7" s="335"/>
      <c r="G7" s="2"/>
      <c r="H7" s="2"/>
      <c r="I7" s="4"/>
      <c r="J7" s="4"/>
    </row>
    <row r="8" spans="1:10" ht="19.8">
      <c r="A8" s="335" t="s">
        <v>281</v>
      </c>
      <c r="B8" s="335"/>
      <c r="C8" s="335"/>
      <c r="D8" s="335"/>
      <c r="E8" s="335"/>
      <c r="F8" s="335"/>
    </row>
    <row r="9" spans="1:10" ht="21" customHeight="1">
      <c r="A9" s="335" t="str">
        <f>ปร.6!A6</f>
        <v xml:space="preserve">ประมาณการเมื่อ  วันที่  31 ตุลาคม  พ.ศ. 2559            ราคากลางเห็นชอบเมื่อวันที่  14  พฤศจิกายน  2559      </v>
      </c>
      <c r="B9" s="335"/>
      <c r="C9" s="335"/>
      <c r="D9" s="335"/>
      <c r="E9" s="335"/>
      <c r="F9" s="335"/>
    </row>
    <row r="10" spans="1:10" ht="21" customHeight="1">
      <c r="A10" s="6"/>
      <c r="B10" s="6"/>
      <c r="C10" s="6"/>
      <c r="D10" s="6"/>
      <c r="E10" s="6"/>
      <c r="F10" s="6"/>
    </row>
    <row r="11" spans="1:10" ht="19.8">
      <c r="A11" s="346" t="s">
        <v>5</v>
      </c>
      <c r="B11" s="346" t="s">
        <v>6</v>
      </c>
      <c r="C11" s="21" t="s">
        <v>18</v>
      </c>
      <c r="D11" s="346" t="s">
        <v>19</v>
      </c>
      <c r="E11" s="21" t="s">
        <v>20</v>
      </c>
      <c r="F11" s="21" t="s">
        <v>9</v>
      </c>
    </row>
    <row r="12" spans="1:10" ht="19.8">
      <c r="A12" s="347"/>
      <c r="B12" s="347"/>
      <c r="C12" s="22" t="s">
        <v>21</v>
      </c>
      <c r="D12" s="347"/>
      <c r="E12" s="22" t="s">
        <v>21</v>
      </c>
      <c r="F12" s="20"/>
    </row>
    <row r="13" spans="1:10" ht="19.8">
      <c r="A13" s="26">
        <v>1</v>
      </c>
      <c r="B13" s="209" t="str">
        <f>ปร.4!B7</f>
        <v xml:space="preserve">งานโครงสร้างวิศวกรรม </v>
      </c>
      <c r="C13" s="8">
        <f>ปร.4!I88</f>
        <v>409586.45825043996</v>
      </c>
      <c r="D13" s="336">
        <v>1.3044</v>
      </c>
      <c r="E13" s="8">
        <f>C13*D13</f>
        <v>534264.57614187384</v>
      </c>
      <c r="F13" s="7"/>
    </row>
    <row r="14" spans="1:10" ht="19.8">
      <c r="A14" s="26">
        <v>2</v>
      </c>
      <c r="B14" s="209" t="str">
        <f>ปร.4!B90</f>
        <v>งานสถาปัตยกรรม</v>
      </c>
      <c r="C14" s="8">
        <f>ปร.4!I200</f>
        <v>833247.02080000006</v>
      </c>
      <c r="D14" s="337"/>
      <c r="E14" s="8">
        <f>C14*D13</f>
        <v>1086887.4139315202</v>
      </c>
      <c r="F14" s="7"/>
      <c r="G14" s="92"/>
    </row>
    <row r="15" spans="1:10" ht="19.8">
      <c r="A15" s="26">
        <v>3</v>
      </c>
      <c r="B15" s="209" t="str">
        <f>ปร.4!B202</f>
        <v xml:space="preserve">งานระบบไฟฟ้า </v>
      </c>
      <c r="C15" s="8">
        <f>ปร.4!I226</f>
        <v>162903</v>
      </c>
      <c r="D15" s="337"/>
      <c r="E15" s="8">
        <f>C15*D13</f>
        <v>212490.67319999999</v>
      </c>
      <c r="F15" s="7"/>
      <c r="G15" s="92"/>
    </row>
    <row r="16" spans="1:10" ht="19.8">
      <c r="A16" s="26">
        <v>4</v>
      </c>
      <c r="B16" s="209"/>
      <c r="C16" s="8">
        <v>0</v>
      </c>
      <c r="D16" s="337"/>
      <c r="E16" s="8">
        <f t="shared" ref="E16:E17" si="0">C16*D16</f>
        <v>0</v>
      </c>
      <c r="F16" s="7"/>
    </row>
    <row r="17" spans="1:13" ht="20.399999999999999" thickBot="1">
      <c r="A17" s="26">
        <v>5</v>
      </c>
      <c r="B17" s="209"/>
      <c r="C17" s="8">
        <v>0</v>
      </c>
      <c r="D17" s="337"/>
      <c r="E17" s="8">
        <f t="shared" si="0"/>
        <v>0</v>
      </c>
      <c r="F17" s="7"/>
    </row>
    <row r="18" spans="1:13" ht="19.8">
      <c r="A18" s="9"/>
      <c r="B18" s="89" t="s">
        <v>74</v>
      </c>
      <c r="C18" s="90"/>
      <c r="D18" s="90"/>
      <c r="E18" s="9"/>
      <c r="F18" s="9"/>
    </row>
    <row r="19" spans="1:13" ht="19.8">
      <c r="A19" s="9"/>
      <c r="B19" s="9" t="s">
        <v>22</v>
      </c>
      <c r="C19" s="9"/>
      <c r="D19" s="9"/>
      <c r="E19" s="9"/>
      <c r="F19" s="9"/>
    </row>
    <row r="20" spans="1:13" ht="19.8">
      <c r="A20" s="9"/>
      <c r="B20" s="9" t="s">
        <v>23</v>
      </c>
      <c r="C20" s="9"/>
      <c r="D20" s="9"/>
      <c r="E20" s="9"/>
      <c r="F20" s="9"/>
    </row>
    <row r="21" spans="1:13" ht="19.8">
      <c r="A21" s="9"/>
      <c r="B21" s="9" t="s">
        <v>104</v>
      </c>
      <c r="C21" s="9"/>
      <c r="D21" s="9"/>
      <c r="E21" s="9"/>
      <c r="F21" s="9"/>
      <c r="I21" s="19"/>
    </row>
    <row r="22" spans="1:13" ht="21" customHeight="1">
      <c r="A22" s="10"/>
      <c r="B22" s="10" t="s">
        <v>24</v>
      </c>
      <c r="C22" s="10"/>
      <c r="D22" s="10"/>
      <c r="E22" s="10"/>
      <c r="F22" s="10"/>
    </row>
    <row r="23" spans="1:13" s="30" customFormat="1" ht="24" thickBot="1">
      <c r="A23" s="93"/>
      <c r="B23" s="343" t="s">
        <v>31</v>
      </c>
      <c r="C23" s="344"/>
      <c r="D23" s="345"/>
      <c r="E23" s="91">
        <f>SUM(E13:E22)</f>
        <v>1833642.6632733941</v>
      </c>
      <c r="F23" s="94"/>
      <c r="H23" s="95"/>
    </row>
    <row r="24" spans="1:13" ht="23.25" customHeight="1" thickTop="1">
      <c r="A24" s="32" t="s">
        <v>33</v>
      </c>
      <c r="B24" s="31" t="str">
        <f>BAHTTEXT(E23)</f>
        <v>หนึ่งล้านแปดแสนสามหมื่นสามพันหกร้อยสี่สิบสองบาทหกสิบหกสตางค์</v>
      </c>
      <c r="C24" s="31"/>
      <c r="D24" s="31"/>
      <c r="E24" s="33"/>
      <c r="F24" s="27"/>
      <c r="H24" s="34"/>
      <c r="I24" s="34"/>
    </row>
    <row r="25" spans="1:13" ht="19.8">
      <c r="A25" s="38"/>
      <c r="B25" s="35" t="s">
        <v>39</v>
      </c>
      <c r="C25" s="36">
        <v>0</v>
      </c>
      <c r="D25" s="37" t="s">
        <v>14</v>
      </c>
      <c r="E25" s="35"/>
      <c r="F25" s="27"/>
    </row>
    <row r="26" spans="1:13" ht="19.8">
      <c r="A26" s="38"/>
      <c r="B26" s="35" t="s">
        <v>27</v>
      </c>
      <c r="C26" s="36">
        <v>0</v>
      </c>
      <c r="D26" s="37" t="s">
        <v>26</v>
      </c>
      <c r="E26" s="35"/>
      <c r="F26" s="27"/>
    </row>
    <row r="27" spans="1:13" ht="19.8">
      <c r="A27" s="28"/>
      <c r="B27" s="28"/>
      <c r="C27" s="39"/>
      <c r="D27" s="29"/>
      <c r="E27" s="28"/>
      <c r="F27" s="28"/>
    </row>
    <row r="28" spans="1:13" ht="19.8">
      <c r="A28" s="28"/>
      <c r="B28" s="28"/>
      <c r="C28" s="39"/>
      <c r="D28" s="29"/>
      <c r="E28" s="28"/>
      <c r="F28" s="28"/>
    </row>
    <row r="29" spans="1:13" s="68" customFormat="1" ht="19.8">
      <c r="A29" s="66"/>
      <c r="B29" s="341"/>
      <c r="C29" s="342"/>
      <c r="D29" s="342"/>
      <c r="E29" s="342"/>
      <c r="F29"/>
      <c r="J29" s="69"/>
      <c r="L29" s="69"/>
      <c r="M29" s="69"/>
    </row>
    <row r="30" spans="1:13" s="68" customFormat="1" ht="19.8">
      <c r="A30" s="66"/>
      <c r="B30" s="326" t="s">
        <v>97</v>
      </c>
      <c r="C30" s="327"/>
      <c r="D30" s="327"/>
      <c r="E30" s="327"/>
      <c r="F30"/>
      <c r="J30" s="69"/>
      <c r="L30" s="69"/>
      <c r="M30" s="69"/>
    </row>
    <row r="31" spans="1:13" s="68" customFormat="1" ht="19.8">
      <c r="A31" s="66"/>
      <c r="B31" s="326" t="s">
        <v>261</v>
      </c>
      <c r="C31" s="327"/>
      <c r="D31" s="327"/>
      <c r="E31" s="327"/>
      <c r="F31"/>
      <c r="J31" s="69"/>
      <c r="L31" s="69"/>
      <c r="M31" s="69"/>
    </row>
    <row r="32" spans="1:13" s="145" customFormat="1" ht="19.8">
      <c r="A32" s="66"/>
      <c r="B32" s="326" t="s">
        <v>96</v>
      </c>
      <c r="C32" s="326"/>
      <c r="D32" s="327"/>
      <c r="E32" s="327"/>
      <c r="F32" s="5"/>
    </row>
    <row r="33" spans="1:13" s="68" customFormat="1" ht="19.8">
      <c r="A33" s="66"/>
      <c r="B33" s="66"/>
      <c r="C33" s="66"/>
      <c r="D33" s="66"/>
      <c r="E33" s="67"/>
      <c r="F33"/>
      <c r="J33" s="69"/>
      <c r="L33" s="69"/>
      <c r="M33" s="69"/>
    </row>
    <row r="34" spans="1:13" s="68" customFormat="1" ht="19.8">
      <c r="A34" s="66" t="s">
        <v>70</v>
      </c>
      <c r="B34" s="66" t="s">
        <v>71</v>
      </c>
      <c r="C34" s="66"/>
      <c r="D34" s="66"/>
      <c r="E34"/>
      <c r="F34"/>
      <c r="J34" s="69"/>
      <c r="L34" s="69"/>
      <c r="M34" s="69"/>
    </row>
    <row r="35" spans="1:13" s="68" customFormat="1" ht="19.8">
      <c r="A35" s="66"/>
      <c r="B35" s="66" t="s">
        <v>262</v>
      </c>
      <c r="C35" s="66"/>
      <c r="D35" s="146"/>
      <c r="E35"/>
      <c r="F35"/>
      <c r="J35" s="69"/>
    </row>
    <row r="36" spans="1:13" s="68" customFormat="1" ht="21" customHeight="1">
      <c r="A36" s="66"/>
      <c r="B36" s="70" t="s">
        <v>72</v>
      </c>
      <c r="C36" s="70"/>
      <c r="D36" s="66"/>
      <c r="E36"/>
      <c r="F36" s="5"/>
    </row>
    <row r="38" spans="1:13" s="68" customFormat="1" ht="19.8">
      <c r="A38" s="66"/>
      <c r="B38" s="341"/>
      <c r="C38" s="341"/>
      <c r="D38" s="341"/>
      <c r="E38" s="341"/>
      <c r="F38"/>
      <c r="J38" s="69"/>
      <c r="L38" s="69"/>
      <c r="M38" s="69"/>
    </row>
    <row r="39" spans="1:13" s="68" customFormat="1" ht="19.8">
      <c r="A39" s="66"/>
      <c r="B39" s="341"/>
      <c r="C39" s="341"/>
      <c r="D39" s="341"/>
      <c r="E39" s="341"/>
      <c r="F39"/>
      <c r="J39" s="69"/>
      <c r="L39" s="69"/>
      <c r="M39" s="69"/>
    </row>
    <row r="40" spans="1:13" s="145" customFormat="1" ht="19.8">
      <c r="A40" s="66"/>
      <c r="B40" s="341"/>
      <c r="C40" s="341"/>
      <c r="D40" s="341"/>
      <c r="E40" s="341"/>
      <c r="F40" s="5"/>
    </row>
    <row r="41" spans="1:13" s="145" customFormat="1" ht="19.8">
      <c r="A41" s="66"/>
      <c r="B41" s="153"/>
      <c r="C41" s="153"/>
      <c r="D41" s="154"/>
      <c r="E41" s="154"/>
      <c r="F41" s="5"/>
    </row>
    <row r="42" spans="1:13" s="68" customFormat="1" ht="19.8">
      <c r="A42" s="66"/>
      <c r="B42" s="66"/>
      <c r="C42" s="66"/>
      <c r="D42" s="66"/>
      <c r="E42"/>
      <c r="F42"/>
      <c r="J42" s="69"/>
      <c r="L42" s="69"/>
      <c r="M42" s="69"/>
    </row>
    <row r="43" spans="1:13" s="68" customFormat="1" ht="19.8">
      <c r="A43" s="66"/>
      <c r="B43" s="66"/>
      <c r="C43" s="66"/>
      <c r="D43" s="66"/>
      <c r="E43"/>
      <c r="F43"/>
      <c r="J43" s="69"/>
    </row>
    <row r="44" spans="1:13" s="68" customFormat="1" ht="21" customHeight="1">
      <c r="A44" s="66"/>
      <c r="B44" s="70"/>
      <c r="C44" s="70"/>
      <c r="D44" s="66"/>
      <c r="E44"/>
      <c r="F44" s="5"/>
    </row>
  </sheetData>
  <mergeCells count="21">
    <mergeCell ref="B38:E38"/>
    <mergeCell ref="B39:E39"/>
    <mergeCell ref="B40:E40"/>
    <mergeCell ref="B29:E29"/>
    <mergeCell ref="A7:F7"/>
    <mergeCell ref="B23:D23"/>
    <mergeCell ref="A8:F8"/>
    <mergeCell ref="A9:F9"/>
    <mergeCell ref="B11:B12"/>
    <mergeCell ref="A11:A12"/>
    <mergeCell ref="D11:D12"/>
    <mergeCell ref="B30:E30"/>
    <mergeCell ref="B31:E31"/>
    <mergeCell ref="B32:E32"/>
    <mergeCell ref="A6:F6"/>
    <mergeCell ref="D13:D17"/>
    <mergeCell ref="A1:F1"/>
    <mergeCell ref="A2:F2"/>
    <mergeCell ref="A3:F3"/>
    <mergeCell ref="A4:F4"/>
    <mergeCell ref="A5:F5"/>
  </mergeCells>
  <phoneticPr fontId="2" type="noConversion"/>
  <pageMargins left="0.74803149606299213" right="0.74803149606299213" top="0.59055118110236227" bottom="0.15748031496062992" header="0.39370078740157483" footer="0.51181102362204722"/>
  <pageSetup paperSize="9" orientation="portrait" r:id="rId1"/>
  <headerFooter alignWithMargins="0">
    <oddHeader xml:space="preserve">&amp;Rแบบ ปร. 5 (ก) แผ่นที่&amp;P/&amp;N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view="pageBreakPreview" topLeftCell="A7" zoomScaleNormal="100" zoomScaleSheetLayoutView="100" workbookViewId="0">
      <selection activeCell="A39" sqref="A39:XFD45"/>
    </sheetView>
  </sheetViews>
  <sheetFormatPr defaultRowHeight="13.2"/>
  <cols>
    <col min="1" max="1" width="8" customWidth="1"/>
    <col min="2" max="2" width="33.109375" customWidth="1"/>
    <col min="3" max="3" width="15.33203125" customWidth="1"/>
    <col min="4" max="4" width="9.5546875" customWidth="1"/>
    <col min="5" max="5" width="14" customWidth="1"/>
    <col min="6" max="6" width="8.109375" customWidth="1"/>
    <col min="7" max="7" width="14.44140625" customWidth="1"/>
    <col min="8" max="8" width="14" bestFit="1" customWidth="1"/>
    <col min="9" max="9" width="12.88671875" bestFit="1" customWidth="1"/>
  </cols>
  <sheetData>
    <row r="1" spans="1:10" ht="23.4">
      <c r="A1" s="338" t="s">
        <v>78</v>
      </c>
      <c r="B1" s="338"/>
      <c r="C1" s="338"/>
      <c r="D1" s="338"/>
      <c r="E1" s="338"/>
      <c r="F1" s="338"/>
      <c r="G1" s="3"/>
      <c r="H1" s="3"/>
      <c r="I1" s="3"/>
      <c r="J1" s="3"/>
    </row>
    <row r="2" spans="1:10" ht="23.4">
      <c r="A2" s="339" t="s">
        <v>25</v>
      </c>
      <c r="B2" s="339"/>
      <c r="C2" s="339"/>
      <c r="D2" s="339"/>
      <c r="E2" s="339"/>
      <c r="F2" s="339"/>
      <c r="G2" s="1"/>
      <c r="H2" s="1"/>
      <c r="I2" s="1"/>
      <c r="J2" s="1"/>
    </row>
    <row r="3" spans="1:10" ht="19.8">
      <c r="A3" s="340" t="str">
        <f>'ปร.5 (ก)'!A3:F3</f>
        <v>โครงการ  อาคารแสดงและจำหน่ายผลิตภัณฑ์เกษตร 1 งาน ต.ทุ่งใหญ่ อ.ทุ่งใหญ่ จ.นครศรีธรรมราช</v>
      </c>
      <c r="B3" s="340"/>
      <c r="C3" s="340"/>
      <c r="D3" s="340"/>
      <c r="E3" s="340"/>
      <c r="F3" s="340"/>
      <c r="G3" s="1"/>
      <c r="H3" s="1"/>
      <c r="I3" s="1"/>
      <c r="J3" s="3"/>
    </row>
    <row r="4" spans="1:10" ht="19.8">
      <c r="A4" s="335" t="s">
        <v>101</v>
      </c>
      <c r="B4" s="335"/>
      <c r="C4" s="335"/>
      <c r="D4" s="335"/>
      <c r="E4" s="335"/>
      <c r="F4" s="335"/>
      <c r="G4" s="1"/>
      <c r="H4" s="1"/>
      <c r="I4" s="1"/>
      <c r="J4" s="1"/>
    </row>
    <row r="5" spans="1:10" ht="19.8">
      <c r="A5" s="335" t="str">
        <f>'ปร.5 (ก)'!A5:F5</f>
        <v>สถานที่ก่อสร้าง  มหาวิทยาลัยเทคโนโลยีราชมงคลศรีวิชัย วิทยาเขตทุ่งใหญ่</v>
      </c>
      <c r="B5" s="335"/>
      <c r="C5" s="335"/>
      <c r="D5" s="335"/>
      <c r="E5" s="335"/>
      <c r="F5" s="335"/>
      <c r="G5" s="3"/>
      <c r="H5" s="3"/>
      <c r="I5" s="3"/>
      <c r="J5" s="3"/>
    </row>
    <row r="6" spans="1:10" ht="19.8">
      <c r="A6" s="335" t="s">
        <v>32</v>
      </c>
      <c r="B6" s="335"/>
      <c r="C6" s="335"/>
      <c r="D6" s="335"/>
      <c r="E6" s="335"/>
      <c r="F6" s="335"/>
      <c r="G6" s="1"/>
      <c r="H6" s="1"/>
      <c r="I6" s="2"/>
      <c r="J6" s="4"/>
    </row>
    <row r="7" spans="1:10" ht="19.8">
      <c r="A7" s="335" t="s">
        <v>4</v>
      </c>
      <c r="B7" s="335"/>
      <c r="C7" s="335"/>
      <c r="D7" s="335"/>
      <c r="E7" s="335"/>
      <c r="F7" s="335"/>
      <c r="G7" s="2"/>
      <c r="H7" s="2"/>
      <c r="I7" s="4"/>
      <c r="J7" s="4"/>
    </row>
    <row r="8" spans="1:10" ht="19.8">
      <c r="A8" s="335" t="s">
        <v>280</v>
      </c>
      <c r="B8" s="335"/>
      <c r="C8" s="335"/>
      <c r="D8" s="335"/>
      <c r="E8" s="335"/>
      <c r="F8" s="335"/>
    </row>
    <row r="9" spans="1:10" ht="21" customHeight="1">
      <c r="A9" s="335" t="str">
        <f>ปร.6!A6</f>
        <v xml:space="preserve">ประมาณการเมื่อ  วันที่  31 ตุลาคม  พ.ศ. 2559            ราคากลางเห็นชอบเมื่อวันที่  14  พฤศจิกายน  2559      </v>
      </c>
      <c r="B9" s="335"/>
      <c r="C9" s="335"/>
      <c r="D9" s="335"/>
      <c r="E9" s="335"/>
      <c r="F9" s="335"/>
    </row>
    <row r="10" spans="1:10" ht="21" customHeight="1">
      <c r="A10" s="6"/>
      <c r="B10" s="6"/>
      <c r="C10" s="6"/>
      <c r="D10" s="6"/>
      <c r="E10" s="6"/>
      <c r="F10" s="6"/>
    </row>
    <row r="11" spans="1:10" ht="19.8">
      <c r="A11" s="346" t="s">
        <v>5</v>
      </c>
      <c r="B11" s="346" t="s">
        <v>6</v>
      </c>
      <c r="C11" s="346" t="s">
        <v>34</v>
      </c>
      <c r="D11" s="21" t="s">
        <v>75</v>
      </c>
      <c r="E11" s="21" t="s">
        <v>20</v>
      </c>
      <c r="F11" s="21" t="s">
        <v>9</v>
      </c>
    </row>
    <row r="12" spans="1:10" ht="19.8">
      <c r="A12" s="347"/>
      <c r="B12" s="347"/>
      <c r="C12" s="347"/>
      <c r="D12" s="22" t="s">
        <v>76</v>
      </c>
      <c r="E12" s="22" t="s">
        <v>21</v>
      </c>
      <c r="F12" s="20"/>
    </row>
    <row r="13" spans="1:10" ht="19.8">
      <c r="A13" s="26">
        <v>1</v>
      </c>
      <c r="B13" s="7" t="s">
        <v>98</v>
      </c>
      <c r="C13" s="8">
        <f>ปร.4!I230</f>
        <v>3000</v>
      </c>
      <c r="D13" s="351">
        <v>1.07</v>
      </c>
      <c r="E13" s="8">
        <f>C13*D13</f>
        <v>3210</v>
      </c>
      <c r="F13" s="7"/>
    </row>
    <row r="14" spans="1:10" ht="19.8">
      <c r="A14" s="26"/>
      <c r="B14" s="7"/>
      <c r="C14" s="8">
        <v>0</v>
      </c>
      <c r="D14" s="352"/>
      <c r="E14" s="8">
        <f>C14*D13</f>
        <v>0</v>
      </c>
      <c r="F14" s="7"/>
      <c r="G14" s="92"/>
    </row>
    <row r="15" spans="1:10" ht="19.8">
      <c r="A15" s="26"/>
      <c r="B15" s="7"/>
      <c r="C15" s="8">
        <v>0</v>
      </c>
      <c r="D15" s="352"/>
      <c r="E15" s="8">
        <f>C15*D13</f>
        <v>0</v>
      </c>
      <c r="F15" s="7"/>
    </row>
    <row r="16" spans="1:10" ht="19.8">
      <c r="A16" s="26"/>
      <c r="B16" s="7"/>
      <c r="C16" s="8">
        <v>0</v>
      </c>
      <c r="D16" s="352"/>
      <c r="E16" s="8">
        <f>C16*D13</f>
        <v>0</v>
      </c>
      <c r="F16" s="7"/>
    </row>
    <row r="17" spans="1:13" ht="19.8">
      <c r="A17" s="26"/>
      <c r="B17" s="7"/>
      <c r="C17" s="8"/>
      <c r="D17" s="352"/>
      <c r="E17" s="8"/>
      <c r="F17" s="7"/>
    </row>
    <row r="18" spans="1:13" ht="21" customHeight="1">
      <c r="A18" s="10"/>
      <c r="B18" s="10"/>
      <c r="C18" s="10"/>
      <c r="D18" s="353"/>
      <c r="E18" s="10"/>
      <c r="F18" s="10"/>
    </row>
    <row r="19" spans="1:13" s="5" customFormat="1" ht="21" thickBot="1">
      <c r="A19" s="23"/>
      <c r="B19" s="348" t="s">
        <v>31</v>
      </c>
      <c r="C19" s="349"/>
      <c r="D19" s="350"/>
      <c r="E19" s="24">
        <f>SUM(E13:E18)</f>
        <v>3210</v>
      </c>
      <c r="F19" s="25"/>
      <c r="G19" s="99"/>
      <c r="H19" s="40"/>
    </row>
    <row r="20" spans="1:13" ht="23.25" customHeight="1" thickTop="1">
      <c r="A20" s="32" t="s">
        <v>33</v>
      </c>
      <c r="B20" s="31" t="str">
        <f>BAHTTEXT(E19)</f>
        <v>สามพันสองร้อยสิบบาทถ้วน</v>
      </c>
      <c r="C20" s="31"/>
      <c r="D20" s="31"/>
      <c r="E20" s="33"/>
      <c r="F20" s="27"/>
      <c r="H20" s="34"/>
      <c r="I20" s="34"/>
    </row>
    <row r="21" spans="1:13" ht="19.8">
      <c r="A21" s="38"/>
      <c r="B21" s="35" t="s">
        <v>77</v>
      </c>
      <c r="C21" s="36">
        <v>0</v>
      </c>
      <c r="D21" s="37" t="s">
        <v>14</v>
      </c>
      <c r="E21" s="35"/>
      <c r="F21" s="27"/>
    </row>
    <row r="22" spans="1:13" ht="19.8">
      <c r="A22" s="38"/>
      <c r="B22" s="35" t="s">
        <v>27</v>
      </c>
      <c r="C22" s="36">
        <v>0</v>
      </c>
      <c r="D22" s="37" t="s">
        <v>26</v>
      </c>
      <c r="E22" s="35"/>
      <c r="F22" s="27"/>
    </row>
    <row r="23" spans="1:13" ht="19.8">
      <c r="A23" s="28"/>
      <c r="B23" s="28"/>
      <c r="C23" s="39"/>
      <c r="D23" s="29"/>
      <c r="E23" s="28"/>
      <c r="F23" s="28"/>
    </row>
    <row r="24" spans="1:13" ht="19.8">
      <c r="A24" s="28"/>
      <c r="B24" s="28"/>
      <c r="C24" s="39"/>
      <c r="D24" s="29"/>
      <c r="E24" s="28"/>
      <c r="F24" s="28"/>
    </row>
    <row r="25" spans="1:13" ht="19.8">
      <c r="A25" s="28"/>
      <c r="B25" s="28"/>
      <c r="C25" s="39"/>
      <c r="D25" s="29"/>
      <c r="E25" s="28"/>
      <c r="F25" s="28"/>
    </row>
    <row r="26" spans="1:13" s="68" customFormat="1" ht="19.8">
      <c r="A26" s="66"/>
      <c r="B26" s="66"/>
      <c r="C26" s="66"/>
      <c r="D26" s="66"/>
      <c r="E26"/>
      <c r="F26"/>
      <c r="J26" s="69"/>
      <c r="L26" s="69"/>
      <c r="M26" s="69"/>
    </row>
    <row r="27" spans="1:13" s="68" customFormat="1" ht="19.8">
      <c r="A27" s="66"/>
      <c r="B27" s="326" t="s">
        <v>97</v>
      </c>
      <c r="C27" s="327"/>
      <c r="D27" s="327"/>
      <c r="E27" s="327"/>
      <c r="F27"/>
      <c r="J27" s="69"/>
      <c r="L27" s="69"/>
      <c r="M27" s="69"/>
    </row>
    <row r="28" spans="1:13" s="68" customFormat="1" ht="19.8">
      <c r="A28" s="66"/>
      <c r="B28" s="326" t="s">
        <v>261</v>
      </c>
      <c r="C28" s="327"/>
      <c r="D28" s="327"/>
      <c r="E28" s="327"/>
      <c r="F28"/>
      <c r="J28" s="69"/>
      <c r="L28" s="69"/>
      <c r="M28" s="69"/>
    </row>
    <row r="29" spans="1:13" s="145" customFormat="1" ht="19.8">
      <c r="A29" s="66"/>
      <c r="B29" s="326" t="s">
        <v>96</v>
      </c>
      <c r="C29" s="326"/>
      <c r="D29" s="327"/>
      <c r="E29" s="327"/>
      <c r="F29" s="5"/>
    </row>
    <row r="30" spans="1:13" s="68" customFormat="1" ht="19.8">
      <c r="A30" s="66"/>
      <c r="B30" s="66"/>
      <c r="C30" s="66"/>
      <c r="D30" s="66"/>
      <c r="E30" s="67"/>
      <c r="F30"/>
      <c r="J30" s="69"/>
      <c r="L30" s="69"/>
      <c r="M30" s="69"/>
    </row>
    <row r="31" spans="1:13" s="68" customFormat="1" ht="19.8">
      <c r="A31" s="66" t="s">
        <v>70</v>
      </c>
      <c r="B31" s="66" t="s">
        <v>71</v>
      </c>
      <c r="C31" s="66"/>
      <c r="D31" s="66"/>
      <c r="E31"/>
      <c r="F31"/>
      <c r="J31" s="69"/>
      <c r="L31" s="69"/>
      <c r="M31" s="69"/>
    </row>
    <row r="32" spans="1:13" s="68" customFormat="1" ht="19.8">
      <c r="A32" s="66"/>
      <c r="B32" s="66" t="s">
        <v>262</v>
      </c>
      <c r="C32" s="66"/>
      <c r="D32" s="146"/>
      <c r="E32"/>
      <c r="F32"/>
      <c r="J32" s="69"/>
    </row>
    <row r="33" spans="1:13" s="68" customFormat="1" ht="21" customHeight="1">
      <c r="A33" s="66"/>
      <c r="B33" s="70" t="s">
        <v>72</v>
      </c>
      <c r="C33" s="70"/>
      <c r="D33" s="66"/>
      <c r="E33"/>
      <c r="F33" s="5"/>
    </row>
    <row r="34" spans="1:13" ht="19.8">
      <c r="A34" s="331"/>
      <c r="B34" s="331"/>
      <c r="C34" s="331"/>
      <c r="D34" s="331"/>
      <c r="E34" s="331"/>
      <c r="F34" s="331"/>
    </row>
    <row r="35" spans="1:13" ht="21" customHeight="1"/>
    <row r="39" spans="1:13" s="68" customFormat="1" ht="19.8">
      <c r="A39" s="66"/>
      <c r="B39" s="341"/>
      <c r="C39" s="342"/>
      <c r="D39" s="342"/>
      <c r="E39" s="342"/>
      <c r="F39"/>
      <c r="J39" s="69"/>
      <c r="L39" s="69"/>
      <c r="M39" s="69"/>
    </row>
    <row r="40" spans="1:13" s="68" customFormat="1" ht="19.8">
      <c r="A40" s="66"/>
      <c r="B40" s="341"/>
      <c r="C40" s="342"/>
      <c r="D40" s="342"/>
      <c r="E40" s="342"/>
      <c r="F40"/>
      <c r="J40" s="69"/>
      <c r="L40" s="69"/>
      <c r="M40" s="69"/>
    </row>
    <row r="41" spans="1:13" s="145" customFormat="1" ht="19.8">
      <c r="A41" s="66"/>
      <c r="B41" s="341"/>
      <c r="C41" s="341"/>
      <c r="D41" s="342"/>
      <c r="E41" s="342"/>
      <c r="F41" s="5"/>
    </row>
    <row r="42" spans="1:13" s="145" customFormat="1" ht="19.8">
      <c r="A42" s="66"/>
      <c r="B42" s="155"/>
      <c r="C42" s="155"/>
      <c r="D42" s="156"/>
      <c r="E42" s="156"/>
      <c r="F42" s="5"/>
    </row>
    <row r="43" spans="1:13" s="68" customFormat="1" ht="19.8">
      <c r="A43" s="66"/>
      <c r="B43" s="66"/>
      <c r="C43" s="66"/>
      <c r="D43" s="66"/>
      <c r="E43"/>
      <c r="F43"/>
      <c r="J43" s="69"/>
      <c r="L43" s="69"/>
      <c r="M43" s="69"/>
    </row>
    <row r="44" spans="1:13" s="68" customFormat="1" ht="19.8">
      <c r="A44" s="66"/>
      <c r="B44" s="66"/>
      <c r="C44" s="66"/>
      <c r="D44" s="66"/>
      <c r="E44"/>
      <c r="F44"/>
      <c r="J44" s="69"/>
    </row>
    <row r="45" spans="1:13" s="68" customFormat="1" ht="21" customHeight="1">
      <c r="A45" s="66"/>
      <c r="B45" s="70"/>
      <c r="C45" s="70"/>
      <c r="D45" s="66"/>
      <c r="E45"/>
      <c r="F45" s="5"/>
    </row>
  </sheetData>
  <mergeCells count="21">
    <mergeCell ref="B39:E39"/>
    <mergeCell ref="B40:E40"/>
    <mergeCell ref="B41:E41"/>
    <mergeCell ref="A34:F34"/>
    <mergeCell ref="A6:F6"/>
    <mergeCell ref="C11:C12"/>
    <mergeCell ref="B11:B12"/>
    <mergeCell ref="A11:A12"/>
    <mergeCell ref="A7:F7"/>
    <mergeCell ref="A8:F8"/>
    <mergeCell ref="A9:F9"/>
    <mergeCell ref="B27:E27"/>
    <mergeCell ref="B28:E28"/>
    <mergeCell ref="B29:E29"/>
    <mergeCell ref="B19:D19"/>
    <mergeCell ref="D13:D18"/>
    <mergeCell ref="A1:F1"/>
    <mergeCell ref="A2:F2"/>
    <mergeCell ref="A3:F3"/>
    <mergeCell ref="A4:F4"/>
    <mergeCell ref="A5:F5"/>
  </mergeCells>
  <pageMargins left="0.74803149606299213" right="0.74803149606299213" top="0.59055118110236227" bottom="0.15748031496062992" header="0.39370078740157483" footer="0.51181102362204722"/>
  <pageSetup paperSize="9" orientation="portrait" r:id="rId1"/>
  <headerFooter alignWithMargins="0">
    <oddHeader>&amp;Rแบบ ปร. 5 (ข)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view="pageBreakPreview" zoomScaleNormal="90" zoomScaleSheetLayoutView="100" workbookViewId="0">
      <pane ySplit="6" topLeftCell="A7" activePane="bottomLeft" state="frozen"/>
      <selection pane="bottomLeft" activeCell="M115" sqref="M115"/>
    </sheetView>
  </sheetViews>
  <sheetFormatPr defaultColWidth="9.109375" defaultRowHeight="17.399999999999999"/>
  <cols>
    <col min="1" max="1" width="6" style="120" customWidth="1"/>
    <col min="2" max="2" width="59.109375" style="120" bestFit="1" customWidth="1"/>
    <col min="3" max="3" width="10.88671875" style="120" customWidth="1"/>
    <col min="4" max="4" width="6.109375" style="125" customWidth="1"/>
    <col min="5" max="5" width="11.33203125" style="123" customWidth="1"/>
    <col min="6" max="6" width="11.88671875" style="120" customWidth="1"/>
    <col min="7" max="8" width="11.44140625" style="120" customWidth="1"/>
    <col min="9" max="9" width="12.44140625" style="120" customWidth="1"/>
    <col min="10" max="10" width="9.88671875" style="122" customWidth="1"/>
    <col min="11" max="11" width="21.5546875" style="227" customWidth="1"/>
    <col min="12" max="12" width="10" style="120" bestFit="1" customWidth="1"/>
    <col min="13" max="13" width="12.88671875" style="120" customWidth="1"/>
    <col min="14" max="16384" width="9.109375" style="120"/>
  </cols>
  <sheetData>
    <row r="1" spans="1:12" s="110" customFormat="1" ht="23.4">
      <c r="A1" s="356" t="s">
        <v>287</v>
      </c>
      <c r="B1" s="357"/>
      <c r="C1" s="357"/>
      <c r="D1" s="357"/>
      <c r="E1" s="357"/>
      <c r="F1" s="357"/>
      <c r="G1" s="357"/>
      <c r="H1" s="357"/>
      <c r="I1" s="357"/>
      <c r="J1" s="357"/>
      <c r="K1" s="225"/>
    </row>
    <row r="2" spans="1:12" s="110" customFormat="1" ht="23.4">
      <c r="A2" s="358" t="s">
        <v>255</v>
      </c>
      <c r="B2" s="359"/>
      <c r="C2" s="359"/>
      <c r="D2" s="367" t="s">
        <v>4</v>
      </c>
      <c r="E2" s="368"/>
      <c r="F2" s="368"/>
      <c r="G2" s="111"/>
      <c r="H2" s="358" t="s">
        <v>84</v>
      </c>
      <c r="I2" s="359"/>
      <c r="J2" s="359"/>
      <c r="K2" s="225"/>
    </row>
    <row r="3" spans="1:12" s="114" customFormat="1" ht="23.4">
      <c r="A3" s="112" t="s">
        <v>86</v>
      </c>
      <c r="B3" s="111"/>
      <c r="C3" s="111"/>
      <c r="D3" s="124"/>
      <c r="E3" s="113"/>
      <c r="F3" s="111"/>
      <c r="G3" s="111"/>
      <c r="H3" s="111"/>
      <c r="I3" s="111"/>
      <c r="J3" s="128"/>
      <c r="K3" s="226"/>
    </row>
    <row r="4" spans="1:12" s="110" customFormat="1" ht="24" thickBot="1">
      <c r="A4" s="115" t="s">
        <v>69</v>
      </c>
      <c r="B4" s="116"/>
      <c r="C4" s="116" t="s">
        <v>288</v>
      </c>
      <c r="D4" s="118"/>
      <c r="E4" s="117"/>
      <c r="F4" s="116" t="s">
        <v>283</v>
      </c>
      <c r="G4" s="116"/>
      <c r="H4" s="116"/>
      <c r="I4" s="116"/>
      <c r="J4" s="118"/>
      <c r="K4" s="225"/>
    </row>
    <row r="5" spans="1:12" ht="21" thickTop="1">
      <c r="A5" s="360" t="s">
        <v>5</v>
      </c>
      <c r="B5" s="354" t="s">
        <v>6</v>
      </c>
      <c r="C5" s="363" t="s">
        <v>10</v>
      </c>
      <c r="D5" s="354" t="s">
        <v>11</v>
      </c>
      <c r="E5" s="365" t="s">
        <v>7</v>
      </c>
      <c r="F5" s="366"/>
      <c r="G5" s="365" t="s">
        <v>8</v>
      </c>
      <c r="H5" s="366"/>
      <c r="I5" s="119" t="s">
        <v>16</v>
      </c>
      <c r="J5" s="354" t="s">
        <v>9</v>
      </c>
    </row>
    <row r="6" spans="1:12" s="121" customFormat="1" ht="21" thickBot="1">
      <c r="A6" s="361"/>
      <c r="B6" s="362"/>
      <c r="C6" s="364"/>
      <c r="D6" s="355"/>
      <c r="E6" s="317" t="s">
        <v>12</v>
      </c>
      <c r="F6" s="318" t="s">
        <v>13</v>
      </c>
      <c r="G6" s="318" t="s">
        <v>12</v>
      </c>
      <c r="H6" s="318" t="s">
        <v>13</v>
      </c>
      <c r="I6" s="318" t="s">
        <v>15</v>
      </c>
      <c r="J6" s="355"/>
      <c r="K6" s="228"/>
    </row>
    <row r="7" spans="1:12" s="121" customFormat="1" ht="21" thickTop="1">
      <c r="A7" s="315">
        <v>1</v>
      </c>
      <c r="B7" s="278" t="s">
        <v>114</v>
      </c>
      <c r="C7" s="316"/>
      <c r="D7" s="119"/>
      <c r="E7" s="196"/>
      <c r="F7" s="254"/>
      <c r="G7" s="254"/>
      <c r="H7" s="254"/>
      <c r="I7" s="254"/>
      <c r="J7" s="319"/>
      <c r="K7" s="228"/>
    </row>
    <row r="8" spans="1:12" s="121" customFormat="1" ht="20.399999999999999">
      <c r="A8" s="255">
        <v>1.1000000000000001</v>
      </c>
      <c r="B8" s="246" t="s">
        <v>106</v>
      </c>
      <c r="C8" s="202"/>
      <c r="D8" s="192"/>
      <c r="E8" s="196"/>
      <c r="F8" s="192"/>
      <c r="G8" s="192"/>
      <c r="H8" s="192"/>
      <c r="I8" s="192"/>
      <c r="J8" s="197"/>
      <c r="K8" s="228"/>
    </row>
    <row r="9" spans="1:12" s="83" customFormat="1" ht="19.8">
      <c r="A9" s="256">
        <v>1</v>
      </c>
      <c r="B9" s="157" t="s">
        <v>118</v>
      </c>
      <c r="C9" s="203">
        <f>(25.875+16.52+0.55)*1.3</f>
        <v>55.828499999999991</v>
      </c>
      <c r="D9" s="193" t="s">
        <v>105</v>
      </c>
      <c r="E9" s="170">
        <v>0</v>
      </c>
      <c r="F9" s="194">
        <f>E9*C9</f>
        <v>0</v>
      </c>
      <c r="G9" s="170">
        <v>99</v>
      </c>
      <c r="H9" s="170">
        <f>G9*C9</f>
        <v>5527.0214999999989</v>
      </c>
      <c r="I9" s="170">
        <f>H9+F9</f>
        <v>5527.0214999999989</v>
      </c>
      <c r="J9" s="195"/>
      <c r="K9" s="220"/>
      <c r="L9" s="210"/>
    </row>
    <row r="10" spans="1:12" s="160" customFormat="1" ht="20.399999999999999">
      <c r="A10" s="257">
        <v>2</v>
      </c>
      <c r="B10" s="157" t="s">
        <v>119</v>
      </c>
      <c r="C10" s="203">
        <f>(2.25+1.4+0.1)*1.25</f>
        <v>4.6875</v>
      </c>
      <c r="D10" s="191" t="s">
        <v>105</v>
      </c>
      <c r="E10" s="170">
        <v>373.84</v>
      </c>
      <c r="F10" s="194">
        <f t="shared" ref="F10:F18" si="0">E10*C10</f>
        <v>1752.3749999999998</v>
      </c>
      <c r="G10" s="170">
        <v>91</v>
      </c>
      <c r="H10" s="170">
        <f t="shared" ref="H10:H18" si="1">G10*C10</f>
        <v>426.5625</v>
      </c>
      <c r="I10" s="170">
        <f t="shared" ref="I10:I18" si="2">H10+F10</f>
        <v>2178.9375</v>
      </c>
      <c r="J10" s="159"/>
      <c r="K10" s="220"/>
      <c r="L10" s="210"/>
    </row>
    <row r="11" spans="1:12" s="160" customFormat="1" ht="20.399999999999999">
      <c r="A11" s="256">
        <v>3</v>
      </c>
      <c r="B11" s="157" t="s">
        <v>120</v>
      </c>
      <c r="C11" s="203">
        <f>(1.125+0.7+0.05)</f>
        <v>1.875</v>
      </c>
      <c r="D11" s="191" t="s">
        <v>105</v>
      </c>
      <c r="E11" s="170">
        <v>2170</v>
      </c>
      <c r="F11" s="194">
        <f t="shared" si="0"/>
        <v>4068.75</v>
      </c>
      <c r="G11" s="170">
        <v>398</v>
      </c>
      <c r="H11" s="170">
        <f t="shared" si="1"/>
        <v>746.25</v>
      </c>
      <c r="I11" s="170">
        <f t="shared" si="2"/>
        <v>4815</v>
      </c>
      <c r="J11" s="159"/>
      <c r="K11" s="220"/>
      <c r="L11" s="210"/>
    </row>
    <row r="12" spans="1:12" s="160" customFormat="1" ht="20.399999999999999">
      <c r="A12" s="257">
        <v>4</v>
      </c>
      <c r="B12" s="172" t="s">
        <v>121</v>
      </c>
      <c r="C12" s="174">
        <v>13</v>
      </c>
      <c r="D12" s="173" t="s">
        <v>105</v>
      </c>
      <c r="E12" s="170">
        <v>2091.59</v>
      </c>
      <c r="F12" s="194">
        <f t="shared" si="0"/>
        <v>27190.670000000002</v>
      </c>
      <c r="G12" s="170">
        <v>391</v>
      </c>
      <c r="H12" s="170">
        <f t="shared" si="1"/>
        <v>5083</v>
      </c>
      <c r="I12" s="170">
        <f t="shared" si="2"/>
        <v>32273.670000000002</v>
      </c>
      <c r="J12" s="159"/>
      <c r="K12" s="220"/>
      <c r="L12" s="210"/>
    </row>
    <row r="13" spans="1:12" s="160" customFormat="1" ht="20.399999999999999">
      <c r="A13" s="256">
        <v>5</v>
      </c>
      <c r="B13" s="172" t="s">
        <v>257</v>
      </c>
      <c r="C13" s="204">
        <f>C14*0.8</f>
        <v>40.160000000000004</v>
      </c>
      <c r="D13" s="158" t="s">
        <v>14</v>
      </c>
      <c r="E13" s="170">
        <v>380</v>
      </c>
      <c r="F13" s="194">
        <f t="shared" si="0"/>
        <v>15260.800000000001</v>
      </c>
      <c r="G13" s="170">
        <v>0</v>
      </c>
      <c r="H13" s="170">
        <f t="shared" si="1"/>
        <v>0</v>
      </c>
      <c r="I13" s="170">
        <f t="shared" si="2"/>
        <v>15260.800000000001</v>
      </c>
      <c r="J13" s="159"/>
      <c r="K13" s="247"/>
      <c r="L13" s="215"/>
    </row>
    <row r="14" spans="1:12" s="160" customFormat="1" ht="20.399999999999999">
      <c r="A14" s="257">
        <v>6</v>
      </c>
      <c r="B14" s="172" t="s">
        <v>258</v>
      </c>
      <c r="C14" s="204">
        <f>(18+14+1.2)+17</f>
        <v>50.2</v>
      </c>
      <c r="D14" s="173" t="s">
        <v>14</v>
      </c>
      <c r="E14" s="170">
        <v>0</v>
      </c>
      <c r="F14" s="194">
        <f t="shared" si="0"/>
        <v>0</v>
      </c>
      <c r="G14" s="170">
        <v>133</v>
      </c>
      <c r="H14" s="170">
        <f t="shared" si="1"/>
        <v>6676.6</v>
      </c>
      <c r="I14" s="170">
        <f t="shared" si="2"/>
        <v>6676.6</v>
      </c>
      <c r="J14" s="159"/>
      <c r="K14" s="220"/>
      <c r="L14" s="212"/>
    </row>
    <row r="15" spans="1:12" s="212" customFormat="1" ht="20.399999999999999" hidden="1">
      <c r="A15" s="267">
        <v>7</v>
      </c>
      <c r="B15" s="259" t="s">
        <v>139</v>
      </c>
      <c r="C15" s="264">
        <f>0.192*C14</f>
        <v>9.6384000000000007</v>
      </c>
      <c r="D15" s="261" t="s">
        <v>3</v>
      </c>
      <c r="E15" s="211">
        <v>0</v>
      </c>
      <c r="F15" s="268">
        <f t="shared" si="0"/>
        <v>0</v>
      </c>
      <c r="G15" s="211">
        <v>0</v>
      </c>
      <c r="H15" s="211">
        <f t="shared" si="1"/>
        <v>0</v>
      </c>
      <c r="I15" s="211">
        <f t="shared" si="2"/>
        <v>0</v>
      </c>
      <c r="J15" s="262"/>
      <c r="K15" s="220"/>
    </row>
    <row r="16" spans="1:12" s="160" customFormat="1" ht="20.399999999999999">
      <c r="A16" s="257">
        <v>7</v>
      </c>
      <c r="B16" s="172" t="s">
        <v>122</v>
      </c>
      <c r="C16" s="204">
        <f>0.25*C14</f>
        <v>12.55</v>
      </c>
      <c r="D16" s="158" t="s">
        <v>1</v>
      </c>
      <c r="E16" s="170">
        <v>51.4</v>
      </c>
      <c r="F16" s="194">
        <f t="shared" si="0"/>
        <v>645.07000000000005</v>
      </c>
      <c r="G16" s="170">
        <v>0</v>
      </c>
      <c r="H16" s="170">
        <f t="shared" si="1"/>
        <v>0</v>
      </c>
      <c r="I16" s="170">
        <f t="shared" si="2"/>
        <v>645.07000000000005</v>
      </c>
      <c r="J16" s="159"/>
      <c r="K16" s="220"/>
      <c r="L16" s="214"/>
    </row>
    <row r="17" spans="1:12" s="160" customFormat="1" ht="20.399999999999999">
      <c r="A17" s="256">
        <v>8</v>
      </c>
      <c r="B17" s="157" t="s">
        <v>123</v>
      </c>
      <c r="C17" s="204">
        <f>(284.16+159.13+6.31)*1.09</f>
        <v>490.06400000000008</v>
      </c>
      <c r="D17" s="158" t="s">
        <v>1</v>
      </c>
      <c r="E17" s="170">
        <v>19.86</v>
      </c>
      <c r="F17" s="194">
        <f t="shared" si="0"/>
        <v>9732.6710400000011</v>
      </c>
      <c r="G17" s="170">
        <v>3.3</v>
      </c>
      <c r="H17" s="170">
        <f t="shared" si="1"/>
        <v>1617.2112000000002</v>
      </c>
      <c r="I17" s="170">
        <f t="shared" si="2"/>
        <v>11349.882240000001</v>
      </c>
      <c r="J17" s="159"/>
      <c r="K17" s="220"/>
      <c r="L17" s="212"/>
    </row>
    <row r="18" spans="1:12" s="160" customFormat="1" ht="20.399999999999999">
      <c r="A18" s="257">
        <v>9</v>
      </c>
      <c r="B18" s="157" t="s">
        <v>124</v>
      </c>
      <c r="C18" s="204">
        <f>(C17)*0.03</f>
        <v>14.701920000000001</v>
      </c>
      <c r="D18" s="158" t="s">
        <v>1</v>
      </c>
      <c r="E18" s="170">
        <v>45.48</v>
      </c>
      <c r="F18" s="194">
        <f t="shared" si="0"/>
        <v>668.64332160000004</v>
      </c>
      <c r="G18" s="170">
        <v>0</v>
      </c>
      <c r="H18" s="170">
        <f t="shared" si="1"/>
        <v>0</v>
      </c>
      <c r="I18" s="170">
        <f t="shared" si="2"/>
        <v>668.64332160000004</v>
      </c>
      <c r="J18" s="159"/>
      <c r="K18" s="220"/>
      <c r="L18" s="214"/>
    </row>
    <row r="19" spans="1:12" s="160" customFormat="1" ht="20.399999999999999">
      <c r="A19" s="164"/>
      <c r="B19" s="219" t="s">
        <v>107</v>
      </c>
      <c r="C19" s="174"/>
      <c r="D19" s="173"/>
      <c r="E19" s="174"/>
      <c r="F19" s="198">
        <f>SUM(F9:F18)</f>
        <v>59318.979361600002</v>
      </c>
      <c r="G19" s="171"/>
      <c r="H19" s="178">
        <f>SUM(H9:H18)</f>
        <v>20076.645200000003</v>
      </c>
      <c r="I19" s="178">
        <f t="shared" ref="I19" si="3">H19+F19</f>
        <v>79395.624561600009</v>
      </c>
      <c r="J19" s="199"/>
      <c r="K19" s="230"/>
    </row>
    <row r="20" spans="1:12" s="160" customFormat="1" ht="20.399999999999999">
      <c r="A20" s="255">
        <v>1.2</v>
      </c>
      <c r="B20" s="246" t="s">
        <v>108</v>
      </c>
      <c r="C20" s="174"/>
      <c r="D20" s="75"/>
      <c r="E20" s="174"/>
      <c r="F20" s="175"/>
      <c r="G20" s="171"/>
      <c r="H20" s="126"/>
      <c r="I20" s="126"/>
      <c r="J20" s="159"/>
      <c r="K20" s="230"/>
    </row>
    <row r="21" spans="1:12" s="160" customFormat="1" ht="20.399999999999999">
      <c r="A21" s="258">
        <v>1</v>
      </c>
      <c r="B21" s="172" t="s">
        <v>121</v>
      </c>
      <c r="C21" s="174">
        <f>(0.438+0.683+0.09)</f>
        <v>1.2110000000000001</v>
      </c>
      <c r="D21" s="173" t="s">
        <v>105</v>
      </c>
      <c r="E21" s="170">
        <v>2091.59</v>
      </c>
      <c r="F21" s="170">
        <f>E21*C21</f>
        <v>2532.9154900000003</v>
      </c>
      <c r="G21" s="170">
        <v>391</v>
      </c>
      <c r="H21" s="126">
        <f>G21*C21</f>
        <v>473.50100000000003</v>
      </c>
      <c r="I21" s="126">
        <f>F21+H21</f>
        <v>3006.4164900000005</v>
      </c>
      <c r="J21" s="159"/>
      <c r="K21" s="229"/>
      <c r="L21" s="212"/>
    </row>
    <row r="22" spans="1:12" s="160" customFormat="1" ht="20.399999999999999">
      <c r="A22" s="258">
        <v>2</v>
      </c>
      <c r="B22" s="172" t="s">
        <v>257</v>
      </c>
      <c r="C22" s="204">
        <f>C23*0.8</f>
        <v>14.888000000000003</v>
      </c>
      <c r="D22" s="158" t="s">
        <v>14</v>
      </c>
      <c r="E22" s="170">
        <v>380</v>
      </c>
      <c r="F22" s="170">
        <f t="shared" ref="F22:F28" si="4">E22*C22</f>
        <v>5657.4400000000014</v>
      </c>
      <c r="G22" s="170">
        <v>0</v>
      </c>
      <c r="H22" s="126">
        <f t="shared" ref="H22:H28" si="5">G22*C22</f>
        <v>0</v>
      </c>
      <c r="I22" s="126">
        <f t="shared" ref="I22:I28" si="6">F22+H22</f>
        <v>5657.4400000000014</v>
      </c>
      <c r="J22" s="159"/>
      <c r="K22" s="214"/>
      <c r="L22" s="212"/>
    </row>
    <row r="23" spans="1:12" s="160" customFormat="1" ht="20.399999999999999">
      <c r="A23" s="258">
        <v>3</v>
      </c>
      <c r="B23" s="172" t="s">
        <v>258</v>
      </c>
      <c r="C23" s="204">
        <f>(7+10.92+0.69)</f>
        <v>18.610000000000003</v>
      </c>
      <c r="D23" s="173" t="s">
        <v>14</v>
      </c>
      <c r="E23" s="170">
        <v>0</v>
      </c>
      <c r="F23" s="170">
        <f t="shared" si="4"/>
        <v>0</v>
      </c>
      <c r="G23" s="170">
        <v>133</v>
      </c>
      <c r="H23" s="126">
        <f t="shared" si="5"/>
        <v>2475.1300000000006</v>
      </c>
      <c r="I23" s="126">
        <f t="shared" si="6"/>
        <v>2475.1300000000006</v>
      </c>
      <c r="J23" s="159"/>
      <c r="K23" s="229"/>
      <c r="L23" s="212"/>
    </row>
    <row r="24" spans="1:12" s="212" customFormat="1" ht="20.399999999999999" hidden="1">
      <c r="A24" s="263">
        <v>4</v>
      </c>
      <c r="B24" s="259" t="s">
        <v>139</v>
      </c>
      <c r="C24" s="264">
        <f>0.192*C23</f>
        <v>3.5731200000000007</v>
      </c>
      <c r="D24" s="261" t="s">
        <v>3</v>
      </c>
      <c r="E24" s="211">
        <v>0</v>
      </c>
      <c r="F24" s="211">
        <f t="shared" si="4"/>
        <v>0</v>
      </c>
      <c r="G24" s="211">
        <v>0</v>
      </c>
      <c r="H24" s="265">
        <f t="shared" si="5"/>
        <v>0</v>
      </c>
      <c r="I24" s="265">
        <f t="shared" si="6"/>
        <v>0</v>
      </c>
      <c r="J24" s="266"/>
      <c r="K24" s="220"/>
    </row>
    <row r="25" spans="1:12" s="83" customFormat="1" ht="20.399999999999999">
      <c r="A25" s="258">
        <v>4</v>
      </c>
      <c r="B25" s="172" t="s">
        <v>122</v>
      </c>
      <c r="C25" s="174">
        <f>0.25*C23</f>
        <v>4.6525000000000007</v>
      </c>
      <c r="D25" s="173" t="s">
        <v>1</v>
      </c>
      <c r="E25" s="170">
        <v>51.4</v>
      </c>
      <c r="F25" s="170">
        <f t="shared" si="4"/>
        <v>239.13850000000002</v>
      </c>
      <c r="G25" s="170">
        <v>0</v>
      </c>
      <c r="H25" s="126">
        <f t="shared" si="5"/>
        <v>0</v>
      </c>
      <c r="I25" s="126">
        <f t="shared" si="6"/>
        <v>239.13850000000002</v>
      </c>
      <c r="J25" s="180"/>
      <c r="K25" s="220"/>
      <c r="L25" s="217"/>
    </row>
    <row r="26" spans="1:12" s="160" customFormat="1" ht="19.8">
      <c r="A26" s="258">
        <v>5</v>
      </c>
      <c r="B26" s="172" t="s">
        <v>125</v>
      </c>
      <c r="C26" s="174">
        <f>(7.1+9.95)*1.05</f>
        <v>17.902499999999996</v>
      </c>
      <c r="D26" s="173" t="s">
        <v>1</v>
      </c>
      <c r="E26" s="170">
        <f>21051.4/1000</f>
        <v>21.051400000000001</v>
      </c>
      <c r="F26" s="170">
        <f t="shared" si="4"/>
        <v>376.87268849999992</v>
      </c>
      <c r="G26" s="170">
        <v>4.0999999999999996</v>
      </c>
      <c r="H26" s="126">
        <f t="shared" si="5"/>
        <v>73.400249999999986</v>
      </c>
      <c r="I26" s="126">
        <f t="shared" si="6"/>
        <v>450.2729384999999</v>
      </c>
      <c r="J26" s="183"/>
      <c r="K26" s="220"/>
      <c r="L26" s="212"/>
    </row>
    <row r="27" spans="1:12" s="160" customFormat="1" ht="19.8">
      <c r="A27" s="258">
        <v>6</v>
      </c>
      <c r="B27" s="157" t="s">
        <v>128</v>
      </c>
      <c r="C27" s="204">
        <f>(53.28+77.33+13.54)*1.07</f>
        <v>154.24050000000003</v>
      </c>
      <c r="D27" s="158" t="s">
        <v>1</v>
      </c>
      <c r="E27" s="170">
        <v>20.13</v>
      </c>
      <c r="F27" s="170">
        <f t="shared" si="4"/>
        <v>3104.8612650000005</v>
      </c>
      <c r="G27" s="170">
        <v>3.3</v>
      </c>
      <c r="H27" s="126">
        <f t="shared" si="5"/>
        <v>508.99365000000006</v>
      </c>
      <c r="I27" s="126">
        <f t="shared" si="6"/>
        <v>3613.8549150000003</v>
      </c>
      <c r="J27" s="183"/>
      <c r="K27" s="220"/>
      <c r="L27" s="212"/>
    </row>
    <row r="28" spans="1:12" s="160" customFormat="1" ht="20.399999999999999">
      <c r="A28" s="258">
        <v>7</v>
      </c>
      <c r="B28" s="172" t="s">
        <v>124</v>
      </c>
      <c r="C28" s="174">
        <f>(C26+C27)*0.03</f>
        <v>5.1642900000000003</v>
      </c>
      <c r="D28" s="173" t="s">
        <v>1</v>
      </c>
      <c r="E28" s="170">
        <v>45.48</v>
      </c>
      <c r="F28" s="170">
        <f t="shared" si="4"/>
        <v>234.8719092</v>
      </c>
      <c r="G28" s="170">
        <v>0</v>
      </c>
      <c r="H28" s="126">
        <f t="shared" si="5"/>
        <v>0</v>
      </c>
      <c r="I28" s="126">
        <f t="shared" si="6"/>
        <v>234.8719092</v>
      </c>
      <c r="J28" s="159"/>
      <c r="K28" s="231"/>
      <c r="L28" s="214"/>
    </row>
    <row r="29" spans="1:12" s="160" customFormat="1" ht="20.399999999999999">
      <c r="A29" s="181"/>
      <c r="B29" s="159" t="s">
        <v>109</v>
      </c>
      <c r="C29" s="174"/>
      <c r="D29" s="75"/>
      <c r="E29" s="182"/>
      <c r="F29" s="200">
        <f>SUM(F21:F28)</f>
        <v>12146.099852700001</v>
      </c>
      <c r="G29" s="182"/>
      <c r="H29" s="200">
        <f>SUM(H21:H28)</f>
        <v>3531.0249000000008</v>
      </c>
      <c r="I29" s="200">
        <f>SUM(I21:I28)</f>
        <v>15677.124752700003</v>
      </c>
      <c r="J29" s="159"/>
      <c r="K29" s="229"/>
      <c r="L29" s="214"/>
    </row>
    <row r="30" spans="1:12" s="160" customFormat="1" ht="20.399999999999999">
      <c r="A30" s="255">
        <v>1.3</v>
      </c>
      <c r="B30" s="246" t="s">
        <v>110</v>
      </c>
      <c r="C30" s="174"/>
      <c r="D30" s="75"/>
      <c r="E30" s="182"/>
      <c r="F30" s="182"/>
      <c r="G30" s="182"/>
      <c r="H30" s="182"/>
      <c r="I30" s="182"/>
      <c r="J30" s="183"/>
      <c r="K30" s="230"/>
      <c r="L30" s="214"/>
    </row>
    <row r="31" spans="1:12" s="160" customFormat="1" ht="19.8">
      <c r="A31" s="181">
        <v>1</v>
      </c>
      <c r="B31" s="172" t="s">
        <v>121</v>
      </c>
      <c r="C31" s="174">
        <f>2.97+4.32+1.62+0.04</f>
        <v>8.9499999999999993</v>
      </c>
      <c r="D31" s="173" t="s">
        <v>40</v>
      </c>
      <c r="E31" s="170">
        <v>2091.59</v>
      </c>
      <c r="F31" s="182">
        <f>E31*C31</f>
        <v>18719.730500000001</v>
      </c>
      <c r="G31" s="182">
        <v>391</v>
      </c>
      <c r="H31" s="182">
        <f>G31*C31</f>
        <v>3499.45</v>
      </c>
      <c r="I31" s="182">
        <f>H31+F31</f>
        <v>22219.180500000002</v>
      </c>
      <c r="J31" s="183"/>
      <c r="K31" s="229"/>
      <c r="L31" s="212"/>
    </row>
    <row r="32" spans="1:12" s="160" customFormat="1" ht="19.8">
      <c r="A32" s="181">
        <v>2</v>
      </c>
      <c r="B32" s="172" t="s">
        <v>257</v>
      </c>
      <c r="C32" s="174">
        <f>C33*0.8</f>
        <v>101.98</v>
      </c>
      <c r="D32" s="173" t="s">
        <v>14</v>
      </c>
      <c r="E32" s="170">
        <v>380</v>
      </c>
      <c r="F32" s="182">
        <f t="shared" ref="F32:F40" si="7">E32*C32</f>
        <v>38752.400000000001</v>
      </c>
      <c r="G32" s="182">
        <v>0</v>
      </c>
      <c r="H32" s="182">
        <f t="shared" ref="H32:H40" si="8">G32*C32</f>
        <v>0</v>
      </c>
      <c r="I32" s="182">
        <f t="shared" ref="I32:I41" si="9">H32+F32</f>
        <v>38752.400000000001</v>
      </c>
      <c r="J32" s="183"/>
      <c r="K32" s="214"/>
      <c r="L32" s="214"/>
    </row>
    <row r="33" spans="1:12" s="160" customFormat="1" ht="20.399999999999999">
      <c r="A33" s="181">
        <v>3</v>
      </c>
      <c r="B33" s="172" t="s">
        <v>258</v>
      </c>
      <c r="C33" s="174">
        <f>39.66+9.915+43.2+10.8+19.8+3.6+0.5</f>
        <v>127.47499999999999</v>
      </c>
      <c r="D33" s="173" t="s">
        <v>14</v>
      </c>
      <c r="E33" s="170">
        <v>0</v>
      </c>
      <c r="F33" s="182">
        <f t="shared" si="7"/>
        <v>0</v>
      </c>
      <c r="G33" s="182">
        <v>133</v>
      </c>
      <c r="H33" s="182">
        <f t="shared" si="8"/>
        <v>16954.174999999999</v>
      </c>
      <c r="I33" s="182">
        <f t="shared" si="9"/>
        <v>16954.174999999999</v>
      </c>
      <c r="J33" s="159"/>
      <c r="K33" s="229"/>
      <c r="L33" s="212"/>
    </row>
    <row r="34" spans="1:12" s="212" customFormat="1" ht="20.399999999999999" hidden="1">
      <c r="A34" s="269">
        <v>4</v>
      </c>
      <c r="B34" s="259" t="s">
        <v>139</v>
      </c>
      <c r="C34" s="260">
        <f>0.192*C33</f>
        <v>24.475200000000001</v>
      </c>
      <c r="D34" s="261" t="s">
        <v>3</v>
      </c>
      <c r="E34" s="211">
        <v>0</v>
      </c>
      <c r="F34" s="213">
        <f t="shared" ref="F34" si="10">E34*C34</f>
        <v>0</v>
      </c>
      <c r="G34" s="213">
        <v>0</v>
      </c>
      <c r="H34" s="213">
        <f t="shared" ref="H34" si="11">G34*C34</f>
        <v>0</v>
      </c>
      <c r="I34" s="213">
        <f t="shared" ref="I34" si="12">H34+F34</f>
        <v>0</v>
      </c>
      <c r="J34" s="262"/>
      <c r="K34" s="220"/>
    </row>
    <row r="35" spans="1:12" s="160" customFormat="1" ht="19.8">
      <c r="A35" s="181">
        <v>4</v>
      </c>
      <c r="B35" s="172" t="s">
        <v>122</v>
      </c>
      <c r="C35" s="174">
        <f>0.25*C33</f>
        <v>31.868749999999999</v>
      </c>
      <c r="D35" s="75" t="s">
        <v>1</v>
      </c>
      <c r="E35" s="170">
        <v>51.4</v>
      </c>
      <c r="F35" s="182">
        <f t="shared" si="7"/>
        <v>1638.0537499999998</v>
      </c>
      <c r="G35" s="182">
        <v>0</v>
      </c>
      <c r="H35" s="182">
        <f t="shared" si="8"/>
        <v>0</v>
      </c>
      <c r="I35" s="182">
        <f t="shared" si="9"/>
        <v>1638.0537499999998</v>
      </c>
      <c r="J35" s="183"/>
      <c r="K35" s="220"/>
      <c r="L35" s="214"/>
    </row>
    <row r="36" spans="1:12" s="160" customFormat="1" ht="19.8">
      <c r="A36" s="181">
        <v>5</v>
      </c>
      <c r="B36" s="172" t="s">
        <v>125</v>
      </c>
      <c r="C36" s="174">
        <f>((68.53+60.16+27.27+0.67)*1.03)+30.75</f>
        <v>192.0789</v>
      </c>
      <c r="D36" s="75" t="s">
        <v>1</v>
      </c>
      <c r="E36" s="170">
        <f>21051.4/1000</f>
        <v>21.051400000000001</v>
      </c>
      <c r="F36" s="182">
        <f t="shared" ref="F36" si="13">E36*C36</f>
        <v>4043.5297554600002</v>
      </c>
      <c r="G36" s="182">
        <v>4.0999999999999996</v>
      </c>
      <c r="H36" s="182">
        <f t="shared" ref="H36" si="14">G36*C36</f>
        <v>787.52348999999992</v>
      </c>
      <c r="I36" s="182">
        <f t="shared" ref="I36" si="15">H36+F36</f>
        <v>4831.0532454599997</v>
      </c>
      <c r="J36" s="183"/>
      <c r="K36" s="220"/>
      <c r="L36" s="214"/>
    </row>
    <row r="37" spans="1:12" s="160" customFormat="1" ht="19.8">
      <c r="A37" s="181">
        <v>6</v>
      </c>
      <c r="B37" s="172" t="s">
        <v>126</v>
      </c>
      <c r="C37" s="174">
        <f>(352.18+47.95)*1.07</f>
        <v>428.13910000000004</v>
      </c>
      <c r="D37" s="75" t="s">
        <v>1</v>
      </c>
      <c r="E37" s="170">
        <v>20.13</v>
      </c>
      <c r="F37" s="182">
        <f t="shared" si="7"/>
        <v>8618.4400830000013</v>
      </c>
      <c r="G37" s="182">
        <v>3.3</v>
      </c>
      <c r="H37" s="182">
        <f t="shared" si="8"/>
        <v>1412.8590300000001</v>
      </c>
      <c r="I37" s="182">
        <f t="shared" si="9"/>
        <v>10031.299113000001</v>
      </c>
      <c r="J37" s="183"/>
      <c r="K37" s="220"/>
      <c r="L37" s="214"/>
    </row>
    <row r="38" spans="1:12" s="160" customFormat="1" ht="19.8">
      <c r="A38" s="181">
        <v>7</v>
      </c>
      <c r="B38" s="172" t="s">
        <v>130</v>
      </c>
      <c r="C38" s="174">
        <f>(113.66)*1.09</f>
        <v>123.88940000000001</v>
      </c>
      <c r="D38" s="75" t="s">
        <v>1</v>
      </c>
      <c r="E38" s="170">
        <v>19.86</v>
      </c>
      <c r="F38" s="182">
        <f t="shared" ref="F38" si="16">E38*C38</f>
        <v>2460.4434839999999</v>
      </c>
      <c r="G38" s="182">
        <v>3.3</v>
      </c>
      <c r="H38" s="182">
        <f t="shared" ref="H38" si="17">G38*C38</f>
        <v>408.83501999999999</v>
      </c>
      <c r="I38" s="182">
        <f t="shared" ref="I38" si="18">H38+F38</f>
        <v>2869.2785039999999</v>
      </c>
      <c r="J38" s="183"/>
      <c r="K38" s="220"/>
      <c r="L38" s="214"/>
    </row>
    <row r="39" spans="1:12" s="160" customFormat="1" ht="19.8">
      <c r="A39" s="181">
        <v>8</v>
      </c>
      <c r="B39" s="172" t="s">
        <v>129</v>
      </c>
      <c r="C39" s="174">
        <f>(799.2+133.2+7.4)*1.11</f>
        <v>1043.1780000000001</v>
      </c>
      <c r="D39" s="75" t="s">
        <v>1</v>
      </c>
      <c r="E39" s="170">
        <v>19.95</v>
      </c>
      <c r="F39" s="182">
        <f t="shared" ref="F39" si="19">E39*C39</f>
        <v>20811.401100000003</v>
      </c>
      <c r="G39" s="182">
        <v>2.9</v>
      </c>
      <c r="H39" s="182">
        <f t="shared" ref="H39" si="20">G39*C39</f>
        <v>3025.2162000000003</v>
      </c>
      <c r="I39" s="182">
        <f t="shared" ref="I39" si="21">H39+F39</f>
        <v>23836.617300000002</v>
      </c>
      <c r="J39" s="183"/>
      <c r="K39" s="220"/>
      <c r="L39" s="214"/>
    </row>
    <row r="40" spans="1:12" s="152" customFormat="1" ht="20.399999999999999">
      <c r="A40" s="181">
        <v>9</v>
      </c>
      <c r="B40" s="172" t="s">
        <v>124</v>
      </c>
      <c r="C40" s="174">
        <f>SUM(C36:C39)*0.03</f>
        <v>53.618562000000004</v>
      </c>
      <c r="D40" s="75" t="s">
        <v>1</v>
      </c>
      <c r="E40" s="170">
        <v>45.48</v>
      </c>
      <c r="F40" s="182">
        <f t="shared" si="7"/>
        <v>2438.5721997599999</v>
      </c>
      <c r="G40" s="182">
        <v>0</v>
      </c>
      <c r="H40" s="182">
        <f t="shared" si="8"/>
        <v>0</v>
      </c>
      <c r="I40" s="182">
        <f t="shared" si="9"/>
        <v>2438.5721997599999</v>
      </c>
      <c r="J40" s="177"/>
      <c r="K40" s="229"/>
      <c r="L40" s="217"/>
    </row>
    <row r="41" spans="1:12" s="152" customFormat="1" ht="20.399999999999999">
      <c r="A41" s="184"/>
      <c r="B41" s="159" t="s">
        <v>111</v>
      </c>
      <c r="C41" s="205"/>
      <c r="D41" s="159"/>
      <c r="E41" s="185"/>
      <c r="F41" s="179">
        <f>SUM(F31:F40)</f>
        <v>97482.570872220007</v>
      </c>
      <c r="G41" s="185"/>
      <c r="H41" s="186">
        <f>SUM(H31:H40)</f>
        <v>26088.058739999997</v>
      </c>
      <c r="I41" s="178">
        <f t="shared" si="9"/>
        <v>123570.62961222</v>
      </c>
      <c r="J41" s="187"/>
      <c r="K41" s="232"/>
    </row>
    <row r="42" spans="1:12" s="176" customFormat="1" ht="20.399999999999999">
      <c r="A42" s="255">
        <v>1.4</v>
      </c>
      <c r="B42" s="246" t="s">
        <v>112</v>
      </c>
      <c r="C42" s="174"/>
      <c r="D42" s="75"/>
      <c r="E42" s="126"/>
      <c r="F42" s="126"/>
      <c r="G42" s="126"/>
      <c r="H42" s="126"/>
      <c r="I42" s="126"/>
      <c r="J42" s="159"/>
      <c r="K42" s="233"/>
    </row>
    <row r="43" spans="1:12" s="176" customFormat="1" ht="20.399999999999999">
      <c r="A43" s="181">
        <v>1</v>
      </c>
      <c r="B43" s="172" t="s">
        <v>121</v>
      </c>
      <c r="C43" s="174">
        <f>0.63+1.315+0.126+1.25</f>
        <v>3.3209999999999997</v>
      </c>
      <c r="D43" s="173" t="s">
        <v>40</v>
      </c>
      <c r="E43" s="170">
        <v>2091.59</v>
      </c>
      <c r="F43" s="182">
        <f>E43*C43</f>
        <v>6946.1703900000002</v>
      </c>
      <c r="G43" s="182">
        <v>391</v>
      </c>
      <c r="H43" s="182">
        <f>G43*C43</f>
        <v>1298.511</v>
      </c>
      <c r="I43" s="182">
        <f>H43+F43</f>
        <v>8244.6813899999997</v>
      </c>
      <c r="J43" s="159"/>
      <c r="K43" s="224"/>
      <c r="L43" s="216"/>
    </row>
    <row r="44" spans="1:12" s="176" customFormat="1" ht="20.399999999999999">
      <c r="A44" s="181">
        <v>2</v>
      </c>
      <c r="B44" s="172" t="s">
        <v>142</v>
      </c>
      <c r="C44" s="201">
        <v>1.875</v>
      </c>
      <c r="D44" s="173" t="s">
        <v>40</v>
      </c>
      <c r="E44" s="170">
        <v>320</v>
      </c>
      <c r="F44" s="182">
        <f t="shared" ref="F44:F55" si="22">E44*C44</f>
        <v>600</v>
      </c>
      <c r="G44" s="182">
        <v>99</v>
      </c>
      <c r="H44" s="182">
        <f t="shared" ref="H44:H55" si="23">G44*C44</f>
        <v>185.625</v>
      </c>
      <c r="I44" s="182">
        <f t="shared" ref="I44:I55" si="24">H44+F44</f>
        <v>785.625</v>
      </c>
      <c r="J44" s="159"/>
      <c r="K44" s="224"/>
      <c r="L44" s="216"/>
    </row>
    <row r="45" spans="1:12" s="176" customFormat="1" ht="19.8">
      <c r="A45" s="181">
        <v>3</v>
      </c>
      <c r="B45" s="172" t="s">
        <v>127</v>
      </c>
      <c r="C45" s="201">
        <f>(16.58+64.94)*1.05</f>
        <v>85.596000000000004</v>
      </c>
      <c r="D45" s="75" t="s">
        <v>1</v>
      </c>
      <c r="E45" s="170">
        <v>20.6</v>
      </c>
      <c r="F45" s="182">
        <f t="shared" si="22"/>
        <v>1763.2776000000001</v>
      </c>
      <c r="G45" s="182">
        <v>4.0999999999999996</v>
      </c>
      <c r="H45" s="182">
        <f t="shared" si="23"/>
        <v>350.9436</v>
      </c>
      <c r="I45" s="182">
        <f t="shared" si="24"/>
        <v>2114.2212</v>
      </c>
      <c r="J45" s="183"/>
      <c r="K45" s="220"/>
      <c r="L45" s="216"/>
    </row>
    <row r="46" spans="1:12" s="176" customFormat="1" ht="19.8">
      <c r="A46" s="181">
        <v>4</v>
      </c>
      <c r="B46" s="172" t="s">
        <v>126</v>
      </c>
      <c r="C46" s="201">
        <f>(58+148.85)*1.07</f>
        <v>221.3295</v>
      </c>
      <c r="D46" s="75" t="s">
        <v>1</v>
      </c>
      <c r="E46" s="170">
        <f>E37</f>
        <v>20.13</v>
      </c>
      <c r="F46" s="182">
        <f t="shared" si="22"/>
        <v>4455.3628349999999</v>
      </c>
      <c r="G46" s="182">
        <v>3.3</v>
      </c>
      <c r="H46" s="182">
        <f t="shared" si="23"/>
        <v>730.38734999999997</v>
      </c>
      <c r="I46" s="182">
        <f t="shared" si="24"/>
        <v>5185.7501849999999</v>
      </c>
      <c r="J46" s="183"/>
      <c r="K46" s="224"/>
      <c r="L46" s="216"/>
    </row>
    <row r="47" spans="1:12" s="176" customFormat="1" ht="19.8">
      <c r="A47" s="181">
        <v>5</v>
      </c>
      <c r="B47" s="172" t="s">
        <v>124</v>
      </c>
      <c r="C47" s="201">
        <f>SUM(C45:C46)*0.03</f>
        <v>9.2077650000000002</v>
      </c>
      <c r="D47" s="75" t="s">
        <v>1</v>
      </c>
      <c r="E47" s="170">
        <v>45.48</v>
      </c>
      <c r="F47" s="182">
        <f t="shared" si="22"/>
        <v>418.76915220000001</v>
      </c>
      <c r="G47" s="182">
        <v>0</v>
      </c>
      <c r="H47" s="182">
        <f t="shared" si="23"/>
        <v>0</v>
      </c>
      <c r="I47" s="182">
        <f t="shared" si="24"/>
        <v>418.76915220000001</v>
      </c>
      <c r="J47" s="183"/>
      <c r="K47" s="229"/>
      <c r="L47" s="216"/>
    </row>
    <row r="48" spans="1:12" s="176" customFormat="1" ht="19.8">
      <c r="A48" s="181">
        <v>6</v>
      </c>
      <c r="B48" s="172" t="s">
        <v>257</v>
      </c>
      <c r="C48" s="201">
        <f>C49*0.8</f>
        <v>15.52</v>
      </c>
      <c r="D48" s="75" t="s">
        <v>14</v>
      </c>
      <c r="E48" s="170">
        <v>380</v>
      </c>
      <c r="F48" s="182">
        <f t="shared" si="22"/>
        <v>5897.5999999999995</v>
      </c>
      <c r="G48" s="182">
        <v>0</v>
      </c>
      <c r="H48" s="182">
        <f t="shared" si="23"/>
        <v>0</v>
      </c>
      <c r="I48" s="182">
        <f t="shared" si="24"/>
        <v>5897.5999999999995</v>
      </c>
      <c r="J48" s="183"/>
      <c r="K48" s="216"/>
      <c r="L48" s="216"/>
    </row>
    <row r="49" spans="1:12" s="176" customFormat="1" ht="19.8">
      <c r="A49" s="181">
        <v>7</v>
      </c>
      <c r="B49" s="172" t="s">
        <v>258</v>
      </c>
      <c r="C49" s="201">
        <f>1+14.65+1.89+1.86</f>
        <v>19.399999999999999</v>
      </c>
      <c r="D49" s="75" t="s">
        <v>14</v>
      </c>
      <c r="E49" s="170">
        <v>0</v>
      </c>
      <c r="F49" s="182">
        <f t="shared" si="22"/>
        <v>0</v>
      </c>
      <c r="G49" s="182">
        <v>133</v>
      </c>
      <c r="H49" s="182">
        <f t="shared" si="23"/>
        <v>2580.1999999999998</v>
      </c>
      <c r="I49" s="182">
        <f t="shared" si="24"/>
        <v>2580.1999999999998</v>
      </c>
      <c r="J49" s="183"/>
      <c r="K49" s="224"/>
      <c r="L49" s="216"/>
    </row>
    <row r="50" spans="1:12" s="176" customFormat="1" ht="19.8" hidden="1">
      <c r="A50" s="181">
        <v>8</v>
      </c>
      <c r="B50" s="172" t="s">
        <v>139</v>
      </c>
      <c r="C50" s="201">
        <f>0.192*C49</f>
        <v>3.7247999999999997</v>
      </c>
      <c r="D50" s="75" t="s">
        <v>3</v>
      </c>
      <c r="E50" s="170">
        <v>0</v>
      </c>
      <c r="F50" s="182">
        <f t="shared" si="22"/>
        <v>0</v>
      </c>
      <c r="G50" s="182">
        <v>0</v>
      </c>
      <c r="H50" s="182">
        <f t="shared" si="23"/>
        <v>0</v>
      </c>
      <c r="I50" s="182">
        <f t="shared" si="24"/>
        <v>0</v>
      </c>
      <c r="J50" s="183"/>
      <c r="K50" s="312"/>
      <c r="L50" s="314"/>
    </row>
    <row r="51" spans="1:12" s="176" customFormat="1" ht="19.8" hidden="1">
      <c r="A51" s="181">
        <v>9</v>
      </c>
      <c r="B51" s="172" t="s">
        <v>140</v>
      </c>
      <c r="C51" s="201">
        <v>13</v>
      </c>
      <c r="D51" s="75" t="s">
        <v>141</v>
      </c>
      <c r="E51" s="170">
        <v>0</v>
      </c>
      <c r="F51" s="182">
        <f t="shared" si="22"/>
        <v>0</v>
      </c>
      <c r="G51" s="182">
        <v>0</v>
      </c>
      <c r="H51" s="182">
        <f t="shared" si="23"/>
        <v>0</v>
      </c>
      <c r="I51" s="182">
        <f t="shared" si="24"/>
        <v>0</v>
      </c>
      <c r="J51" s="183"/>
      <c r="K51" s="233"/>
      <c r="L51" s="314"/>
    </row>
    <row r="52" spans="1:12" s="176" customFormat="1" ht="19.8">
      <c r="A52" s="181">
        <v>8</v>
      </c>
      <c r="B52" s="172" t="s">
        <v>122</v>
      </c>
      <c r="C52" s="201">
        <f>0.25*C49</f>
        <v>4.8499999999999996</v>
      </c>
      <c r="D52" s="75" t="s">
        <v>1</v>
      </c>
      <c r="E52" s="170">
        <v>51.4</v>
      </c>
      <c r="F52" s="182">
        <f t="shared" si="22"/>
        <v>249.28999999999996</v>
      </c>
      <c r="G52" s="182">
        <v>0</v>
      </c>
      <c r="H52" s="182">
        <f t="shared" si="23"/>
        <v>0</v>
      </c>
      <c r="I52" s="182">
        <f t="shared" si="24"/>
        <v>249.28999999999996</v>
      </c>
      <c r="J52" s="183"/>
      <c r="K52" s="224"/>
      <c r="L52" s="216"/>
    </row>
    <row r="53" spans="1:12" s="176" customFormat="1" ht="19.8">
      <c r="A53" s="181">
        <v>9</v>
      </c>
      <c r="B53" s="172" t="s">
        <v>131</v>
      </c>
      <c r="C53" s="201">
        <f>18+18+18+18+18+18+18+18+13.5+13.5+13.5+13.5+6.75+3</f>
        <v>207.75</v>
      </c>
      <c r="D53" s="75" t="s">
        <v>14</v>
      </c>
      <c r="E53" s="182">
        <v>235</v>
      </c>
      <c r="F53" s="182">
        <f t="shared" si="22"/>
        <v>48821.25</v>
      </c>
      <c r="G53" s="182">
        <v>25</v>
      </c>
      <c r="H53" s="182">
        <f t="shared" si="23"/>
        <v>5193.75</v>
      </c>
      <c r="I53" s="182">
        <f t="shared" si="24"/>
        <v>54015</v>
      </c>
      <c r="J53" s="183"/>
      <c r="K53" s="224"/>
      <c r="L53" s="216"/>
    </row>
    <row r="54" spans="1:12" s="176" customFormat="1" ht="19.8">
      <c r="A54" s="181">
        <v>10</v>
      </c>
      <c r="B54" s="172" t="s">
        <v>132</v>
      </c>
      <c r="C54" s="201">
        <f>C53</f>
        <v>207.75</v>
      </c>
      <c r="D54" s="75" t="s">
        <v>14</v>
      </c>
      <c r="E54" s="182">
        <v>31</v>
      </c>
      <c r="F54" s="182">
        <f t="shared" si="22"/>
        <v>6440.25</v>
      </c>
      <c r="G54" s="182">
        <v>5</v>
      </c>
      <c r="H54" s="182">
        <f t="shared" si="23"/>
        <v>1038.75</v>
      </c>
      <c r="I54" s="182">
        <f t="shared" si="24"/>
        <v>7479</v>
      </c>
      <c r="J54" s="183"/>
      <c r="K54" s="224"/>
      <c r="L54" s="216"/>
    </row>
    <row r="55" spans="1:12" s="176" customFormat="1" ht="19.8">
      <c r="A55" s="181">
        <v>11</v>
      </c>
      <c r="B55" s="172" t="s">
        <v>133</v>
      </c>
      <c r="C55" s="201">
        <f>C53</f>
        <v>207.75</v>
      </c>
      <c r="D55" s="75" t="s">
        <v>14</v>
      </c>
      <c r="E55" s="182">
        <v>84</v>
      </c>
      <c r="F55" s="182">
        <f t="shared" si="22"/>
        <v>17451</v>
      </c>
      <c r="G55" s="182">
        <v>20</v>
      </c>
      <c r="H55" s="182">
        <f t="shared" si="23"/>
        <v>4155</v>
      </c>
      <c r="I55" s="182">
        <f t="shared" si="24"/>
        <v>21606</v>
      </c>
      <c r="J55" s="183"/>
      <c r="K55" s="224"/>
      <c r="L55" s="216"/>
    </row>
    <row r="56" spans="1:12" s="176" customFormat="1" ht="20.399999999999999">
      <c r="A56" s="188"/>
      <c r="B56" s="159" t="s">
        <v>113</v>
      </c>
      <c r="C56" s="174"/>
      <c r="D56" s="75"/>
      <c r="E56" s="182"/>
      <c r="F56" s="200">
        <f>SUM(F43:F55)</f>
        <v>93042.969977200002</v>
      </c>
      <c r="G56" s="182"/>
      <c r="H56" s="200">
        <f>SUM(H43:H55)</f>
        <v>15533.166949999999</v>
      </c>
      <c r="I56" s="200">
        <f>SUM(I43:I55)</f>
        <v>108576.1369272</v>
      </c>
      <c r="J56" s="183"/>
      <c r="K56" s="233"/>
    </row>
    <row r="57" spans="1:12" ht="20.399999999999999">
      <c r="A57" s="255">
        <v>1.5</v>
      </c>
      <c r="B57" s="246" t="s">
        <v>134</v>
      </c>
      <c r="C57" s="174"/>
      <c r="D57" s="75"/>
      <c r="E57" s="126"/>
      <c r="F57" s="126"/>
      <c r="G57" s="126"/>
      <c r="H57" s="126"/>
      <c r="I57" s="126"/>
      <c r="J57" s="159"/>
    </row>
    <row r="58" spans="1:12" ht="20.399999999999999">
      <c r="A58" s="181">
        <v>1</v>
      </c>
      <c r="B58" s="172" t="s">
        <v>121</v>
      </c>
      <c r="C58" s="174">
        <v>3.2</v>
      </c>
      <c r="D58" s="173" t="s">
        <v>40</v>
      </c>
      <c r="E58" s="170">
        <v>2091.59</v>
      </c>
      <c r="F58" s="182">
        <f>E58*C58</f>
        <v>6693.0880000000006</v>
      </c>
      <c r="G58" s="182">
        <v>391</v>
      </c>
      <c r="H58" s="182">
        <f>G58*C58</f>
        <v>1251.2</v>
      </c>
      <c r="I58" s="182">
        <f>H58+F58</f>
        <v>7944.2880000000005</v>
      </c>
      <c r="J58" s="159"/>
      <c r="K58" s="224"/>
    </row>
    <row r="59" spans="1:12" ht="19.8">
      <c r="A59" s="181">
        <v>2</v>
      </c>
      <c r="B59" s="172" t="s">
        <v>125</v>
      </c>
      <c r="C59" s="201">
        <f>(53.55)*1.05</f>
        <v>56.227499999999999</v>
      </c>
      <c r="D59" s="75" t="s">
        <v>1</v>
      </c>
      <c r="E59" s="170">
        <v>21.05</v>
      </c>
      <c r="F59" s="182">
        <f t="shared" ref="F59:F65" si="25">E59*C59</f>
        <v>1183.5888749999999</v>
      </c>
      <c r="G59" s="182">
        <v>4.0999999999999996</v>
      </c>
      <c r="H59" s="182">
        <f t="shared" ref="H59:H65" si="26">G59*C59</f>
        <v>230.53274999999996</v>
      </c>
      <c r="I59" s="182">
        <f t="shared" ref="I59:I65" si="27">H59+F59</f>
        <v>1414.1216249999998</v>
      </c>
      <c r="J59" s="183"/>
      <c r="K59" s="220"/>
    </row>
    <row r="60" spans="1:12" ht="19.8">
      <c r="A60" s="181">
        <v>3</v>
      </c>
      <c r="B60" s="172" t="s">
        <v>126</v>
      </c>
      <c r="C60" s="201">
        <f>(284.87)*1.07</f>
        <v>304.8109</v>
      </c>
      <c r="D60" s="75" t="s">
        <v>1</v>
      </c>
      <c r="E60" s="170">
        <f>E46</f>
        <v>20.13</v>
      </c>
      <c r="F60" s="182">
        <f t="shared" si="25"/>
        <v>6135.843417</v>
      </c>
      <c r="G60" s="182">
        <v>3.3</v>
      </c>
      <c r="H60" s="182">
        <f t="shared" si="26"/>
        <v>1005.8759699999999</v>
      </c>
      <c r="I60" s="182">
        <f t="shared" si="27"/>
        <v>7141.7193870000001</v>
      </c>
      <c r="J60" s="183"/>
      <c r="K60" s="220"/>
    </row>
    <row r="61" spans="1:12" ht="19.8">
      <c r="A61" s="181">
        <v>4</v>
      </c>
      <c r="B61" s="172" t="s">
        <v>124</v>
      </c>
      <c r="C61" s="201">
        <f>SUM(C59,C60)*0.03</f>
        <v>10.831151999999999</v>
      </c>
      <c r="D61" s="75" t="s">
        <v>1</v>
      </c>
      <c r="E61" s="170">
        <v>45.48</v>
      </c>
      <c r="F61" s="182">
        <f t="shared" si="25"/>
        <v>492.60079295999992</v>
      </c>
      <c r="G61" s="182">
        <v>0</v>
      </c>
      <c r="H61" s="182">
        <f t="shared" si="26"/>
        <v>0</v>
      </c>
      <c r="I61" s="182">
        <f t="shared" si="27"/>
        <v>492.60079295999992</v>
      </c>
      <c r="J61" s="183"/>
      <c r="K61" s="229"/>
    </row>
    <row r="62" spans="1:12" ht="19.8">
      <c r="A62" s="181">
        <v>5</v>
      </c>
      <c r="B62" s="172" t="s">
        <v>257</v>
      </c>
      <c r="C62" s="201">
        <f>C63*0.8</f>
        <v>51.328000000000003</v>
      </c>
      <c r="D62" s="75" t="s">
        <v>14</v>
      </c>
      <c r="E62" s="170">
        <v>380</v>
      </c>
      <c r="F62" s="182">
        <f t="shared" si="25"/>
        <v>19504.64</v>
      </c>
      <c r="G62" s="182">
        <v>0</v>
      </c>
      <c r="H62" s="182">
        <f t="shared" si="26"/>
        <v>0</v>
      </c>
      <c r="I62" s="182">
        <f t="shared" si="27"/>
        <v>19504.64</v>
      </c>
      <c r="J62" s="183"/>
      <c r="K62" s="249"/>
    </row>
    <row r="63" spans="1:12" ht="19.8">
      <c r="A63" s="181">
        <v>6</v>
      </c>
      <c r="B63" s="172" t="s">
        <v>258</v>
      </c>
      <c r="C63" s="201">
        <v>64.16</v>
      </c>
      <c r="D63" s="75" t="s">
        <v>14</v>
      </c>
      <c r="E63" s="170">
        <v>0</v>
      </c>
      <c r="F63" s="182">
        <f t="shared" si="25"/>
        <v>0</v>
      </c>
      <c r="G63" s="182">
        <v>133</v>
      </c>
      <c r="H63" s="182">
        <f t="shared" si="26"/>
        <v>8533.2799999999988</v>
      </c>
      <c r="I63" s="182">
        <f t="shared" si="27"/>
        <v>8533.2799999999988</v>
      </c>
      <c r="J63" s="183"/>
      <c r="K63" s="248"/>
    </row>
    <row r="64" spans="1:12" s="273" customFormat="1" ht="19.8" hidden="1">
      <c r="A64" s="269">
        <v>7</v>
      </c>
      <c r="B64" s="259" t="s">
        <v>139</v>
      </c>
      <c r="C64" s="270">
        <f>0.192*C63</f>
        <v>12.318719999999999</v>
      </c>
      <c r="D64" s="271" t="s">
        <v>3</v>
      </c>
      <c r="E64" s="211">
        <v>0</v>
      </c>
      <c r="F64" s="213">
        <f t="shared" si="25"/>
        <v>0</v>
      </c>
      <c r="G64" s="213">
        <v>0</v>
      </c>
      <c r="H64" s="213">
        <f t="shared" si="26"/>
        <v>0</v>
      </c>
      <c r="I64" s="213">
        <f t="shared" si="27"/>
        <v>0</v>
      </c>
      <c r="J64" s="272"/>
      <c r="K64" s="220"/>
    </row>
    <row r="65" spans="1:11" ht="19.8">
      <c r="A65" s="181">
        <v>7</v>
      </c>
      <c r="B65" s="172" t="s">
        <v>122</v>
      </c>
      <c r="C65" s="201">
        <f>0.25*C63</f>
        <v>16.04</v>
      </c>
      <c r="D65" s="75" t="s">
        <v>1</v>
      </c>
      <c r="E65" s="170">
        <v>51.4</v>
      </c>
      <c r="F65" s="182">
        <f t="shared" si="25"/>
        <v>824.4559999999999</v>
      </c>
      <c r="G65" s="182">
        <v>0</v>
      </c>
      <c r="H65" s="182">
        <f t="shared" si="26"/>
        <v>0</v>
      </c>
      <c r="I65" s="182">
        <f t="shared" si="27"/>
        <v>824.4559999999999</v>
      </c>
      <c r="J65" s="183"/>
      <c r="K65" s="248"/>
    </row>
    <row r="66" spans="1:11" ht="20.399999999999999">
      <c r="A66" s="221"/>
      <c r="B66" s="159" t="s">
        <v>113</v>
      </c>
      <c r="C66" s="174"/>
      <c r="D66" s="75"/>
      <c r="E66" s="182"/>
      <c r="F66" s="200">
        <f>SUM(F58:F65)</f>
        <v>34834.217084960001</v>
      </c>
      <c r="G66" s="182"/>
      <c r="H66" s="200">
        <f>SUM(H58:H65)</f>
        <v>11020.888719999999</v>
      </c>
      <c r="I66" s="200">
        <f t="shared" ref="I66" si="28">H66+F66</f>
        <v>45855.105804959996</v>
      </c>
      <c r="J66" s="183"/>
    </row>
    <row r="67" spans="1:11" ht="20.399999999999999">
      <c r="A67" s="255">
        <v>1.6</v>
      </c>
      <c r="B67" s="246" t="s">
        <v>135</v>
      </c>
      <c r="C67" s="174"/>
      <c r="D67" s="75"/>
      <c r="E67" s="126"/>
      <c r="F67" s="126"/>
      <c r="G67" s="126"/>
      <c r="H67" s="126"/>
      <c r="I67" s="126"/>
      <c r="J67" s="183"/>
    </row>
    <row r="68" spans="1:11" ht="19.8">
      <c r="A68" s="181">
        <v>1</v>
      </c>
      <c r="B68" s="172" t="s">
        <v>121</v>
      </c>
      <c r="C68" s="174">
        <f>58*0.15*0.3</f>
        <v>2.61</v>
      </c>
      <c r="D68" s="173" t="s">
        <v>40</v>
      </c>
      <c r="E68" s="170">
        <v>2091.59</v>
      </c>
      <c r="F68" s="182">
        <f>E68*C68</f>
        <v>5459.0499</v>
      </c>
      <c r="G68" s="182">
        <v>391</v>
      </c>
      <c r="H68" s="182">
        <f>G68*C68</f>
        <v>1020.51</v>
      </c>
      <c r="I68" s="182">
        <f>H68+F68</f>
        <v>6479.5599000000002</v>
      </c>
      <c r="J68" s="183"/>
      <c r="K68" s="248"/>
    </row>
    <row r="69" spans="1:11" ht="19.8">
      <c r="A69" s="181">
        <v>2</v>
      </c>
      <c r="B69" s="172" t="s">
        <v>125</v>
      </c>
      <c r="C69" s="201">
        <f>(60.14)*1.05</f>
        <v>63.147000000000006</v>
      </c>
      <c r="D69" s="75" t="s">
        <v>1</v>
      </c>
      <c r="E69" s="170">
        <v>21.05</v>
      </c>
      <c r="F69" s="182">
        <f t="shared" ref="F69:F76" si="29">E69*C69</f>
        <v>1329.2443500000002</v>
      </c>
      <c r="G69" s="182">
        <v>4.0999999999999996</v>
      </c>
      <c r="H69" s="182">
        <f t="shared" ref="H69:H76" si="30">G69*C69</f>
        <v>258.90269999999998</v>
      </c>
      <c r="I69" s="182">
        <f t="shared" ref="I69:I76" si="31">H69+F69</f>
        <v>1588.14705</v>
      </c>
      <c r="J69" s="183"/>
      <c r="K69" s="248"/>
    </row>
    <row r="70" spans="1:11" ht="19.8">
      <c r="A70" s="181">
        <v>3</v>
      </c>
      <c r="B70" s="172" t="s">
        <v>126</v>
      </c>
      <c r="C70" s="201">
        <f>(206.02)*1.07</f>
        <v>220.44140000000002</v>
      </c>
      <c r="D70" s="75" t="s">
        <v>1</v>
      </c>
      <c r="E70" s="170">
        <v>20.13</v>
      </c>
      <c r="F70" s="182">
        <f t="shared" si="29"/>
        <v>4437.4853819999998</v>
      </c>
      <c r="G70" s="182">
        <v>3.3</v>
      </c>
      <c r="H70" s="182">
        <f t="shared" si="30"/>
        <v>727.45662000000004</v>
      </c>
      <c r="I70" s="182">
        <f t="shared" si="31"/>
        <v>5164.9420019999998</v>
      </c>
      <c r="J70" s="183"/>
      <c r="K70" s="220"/>
    </row>
    <row r="71" spans="1:11" ht="19.8">
      <c r="A71" s="181">
        <v>4</v>
      </c>
      <c r="B71" s="172" t="s">
        <v>124</v>
      </c>
      <c r="C71" s="201">
        <f>SUM(C69,C70)*0.03</f>
        <v>8.5076520000000002</v>
      </c>
      <c r="D71" s="75" t="s">
        <v>1</v>
      </c>
      <c r="E71" s="170">
        <v>45.48</v>
      </c>
      <c r="F71" s="182">
        <f t="shared" si="29"/>
        <v>386.92801295999999</v>
      </c>
      <c r="G71" s="182">
        <v>0</v>
      </c>
      <c r="H71" s="182">
        <f t="shared" si="30"/>
        <v>0</v>
      </c>
      <c r="I71" s="182">
        <f t="shared" si="31"/>
        <v>386.92801295999999</v>
      </c>
      <c r="J71" s="183"/>
      <c r="K71" s="229"/>
    </row>
    <row r="72" spans="1:11" ht="20.399999999999999">
      <c r="A72" s="181">
        <v>5</v>
      </c>
      <c r="B72" s="172" t="s">
        <v>257</v>
      </c>
      <c r="C72" s="201">
        <f>C73*0.8</f>
        <v>34.800000000000004</v>
      </c>
      <c r="D72" s="75" t="s">
        <v>14</v>
      </c>
      <c r="E72" s="170">
        <v>380</v>
      </c>
      <c r="F72" s="182">
        <f t="shared" si="29"/>
        <v>13224.000000000002</v>
      </c>
      <c r="G72" s="182">
        <v>0</v>
      </c>
      <c r="H72" s="182">
        <f t="shared" si="30"/>
        <v>0</v>
      </c>
      <c r="I72" s="182">
        <f t="shared" si="31"/>
        <v>13224.000000000002</v>
      </c>
      <c r="J72" s="159"/>
      <c r="K72" s="249"/>
    </row>
    <row r="73" spans="1:11" ht="19.8">
      <c r="A73" s="181">
        <v>6</v>
      </c>
      <c r="B73" s="172" t="s">
        <v>258</v>
      </c>
      <c r="C73" s="201">
        <f>34.8+8.7</f>
        <v>43.5</v>
      </c>
      <c r="D73" s="75" t="s">
        <v>14</v>
      </c>
      <c r="E73" s="170">
        <v>0</v>
      </c>
      <c r="F73" s="182">
        <f t="shared" si="29"/>
        <v>0</v>
      </c>
      <c r="G73" s="182">
        <v>133</v>
      </c>
      <c r="H73" s="182">
        <f t="shared" si="30"/>
        <v>5785.5</v>
      </c>
      <c r="I73" s="182">
        <f t="shared" si="31"/>
        <v>5785.5</v>
      </c>
      <c r="J73" s="207"/>
      <c r="K73" s="248"/>
    </row>
    <row r="74" spans="1:11" s="273" customFormat="1" ht="19.8" hidden="1">
      <c r="A74" s="269">
        <v>7</v>
      </c>
      <c r="B74" s="259" t="s">
        <v>139</v>
      </c>
      <c r="C74" s="270">
        <f>0.192*C73</f>
        <v>8.3520000000000003</v>
      </c>
      <c r="D74" s="271" t="s">
        <v>3</v>
      </c>
      <c r="E74" s="211">
        <v>0</v>
      </c>
      <c r="F74" s="213">
        <f t="shared" si="29"/>
        <v>0</v>
      </c>
      <c r="G74" s="213">
        <v>0</v>
      </c>
      <c r="H74" s="213">
        <f t="shared" si="30"/>
        <v>0</v>
      </c>
      <c r="I74" s="213">
        <f t="shared" si="31"/>
        <v>0</v>
      </c>
      <c r="J74" s="274"/>
      <c r="K74" s="220"/>
    </row>
    <row r="75" spans="1:11" s="273" customFormat="1" ht="19.8" hidden="1">
      <c r="A75" s="269">
        <v>8</v>
      </c>
      <c r="B75" s="259" t="s">
        <v>140</v>
      </c>
      <c r="C75" s="270">
        <v>58</v>
      </c>
      <c r="D75" s="271" t="s">
        <v>141</v>
      </c>
      <c r="E75" s="211">
        <v>0</v>
      </c>
      <c r="F75" s="213">
        <f t="shared" si="29"/>
        <v>0</v>
      </c>
      <c r="G75" s="213">
        <v>0</v>
      </c>
      <c r="H75" s="213">
        <f t="shared" si="30"/>
        <v>0</v>
      </c>
      <c r="I75" s="213">
        <f t="shared" si="31"/>
        <v>0</v>
      </c>
      <c r="J75" s="274"/>
      <c r="K75" s="224"/>
    </row>
    <row r="76" spans="1:11" ht="19.8">
      <c r="A76" s="181">
        <v>7</v>
      </c>
      <c r="B76" s="172" t="s">
        <v>122</v>
      </c>
      <c r="C76" s="201">
        <f>0.25*C73</f>
        <v>10.875</v>
      </c>
      <c r="D76" s="75" t="s">
        <v>1</v>
      </c>
      <c r="E76" s="170">
        <v>51.4</v>
      </c>
      <c r="F76" s="182">
        <f t="shared" si="29"/>
        <v>558.97500000000002</v>
      </c>
      <c r="G76" s="182">
        <v>0</v>
      </c>
      <c r="H76" s="182">
        <f t="shared" si="30"/>
        <v>0</v>
      </c>
      <c r="I76" s="182">
        <f t="shared" si="31"/>
        <v>558.97500000000002</v>
      </c>
      <c r="J76" s="183"/>
      <c r="K76" s="248"/>
    </row>
    <row r="77" spans="1:11" ht="20.399999999999999">
      <c r="A77" s="221"/>
      <c r="B77" s="159" t="s">
        <v>136</v>
      </c>
      <c r="C77" s="201"/>
      <c r="D77" s="75"/>
      <c r="E77" s="211"/>
      <c r="F77" s="206">
        <f>SUM(F68:F76)</f>
        <v>25395.682644959998</v>
      </c>
      <c r="G77" s="213"/>
      <c r="H77" s="206">
        <f>SUM(H68:H76)</f>
        <v>7792.3693199999998</v>
      </c>
      <c r="I77" s="206">
        <f t="shared" ref="I77" si="32">H77+F77</f>
        <v>33188.051964959996</v>
      </c>
      <c r="J77" s="183"/>
    </row>
    <row r="78" spans="1:11" ht="20.399999999999999">
      <c r="A78" s="255">
        <v>1.7</v>
      </c>
      <c r="B78" s="246" t="s">
        <v>137</v>
      </c>
      <c r="C78" s="174"/>
      <c r="D78" s="75"/>
      <c r="E78" s="126"/>
      <c r="F78" s="126"/>
      <c r="G78" s="126"/>
      <c r="H78" s="126"/>
      <c r="I78" s="126"/>
      <c r="J78" s="183"/>
    </row>
    <row r="79" spans="1:11" ht="19.8">
      <c r="A79" s="181">
        <v>1</v>
      </c>
      <c r="B79" s="172" t="s">
        <v>121</v>
      </c>
      <c r="C79" s="174">
        <v>0.64</v>
      </c>
      <c r="D79" s="173" t="s">
        <v>40</v>
      </c>
      <c r="E79" s="170">
        <v>2091.59</v>
      </c>
      <c r="F79" s="182">
        <f>E79*C79</f>
        <v>1338.6176</v>
      </c>
      <c r="G79" s="182">
        <v>391</v>
      </c>
      <c r="H79" s="182">
        <f>G79*C79</f>
        <v>250.24</v>
      </c>
      <c r="I79" s="182">
        <f>H79+F79</f>
        <v>1588.8576</v>
      </c>
      <c r="J79" s="183"/>
      <c r="K79" s="248"/>
    </row>
    <row r="80" spans="1:11" ht="19.8">
      <c r="A80" s="181">
        <v>2</v>
      </c>
      <c r="B80" s="172" t="s">
        <v>142</v>
      </c>
      <c r="C80" s="201">
        <v>0.98</v>
      </c>
      <c r="D80" s="173" t="s">
        <v>40</v>
      </c>
      <c r="E80" s="170">
        <v>320</v>
      </c>
      <c r="F80" s="182">
        <f t="shared" ref="F80:F86" si="33">E80*C80</f>
        <v>313.60000000000002</v>
      </c>
      <c r="G80" s="182">
        <v>99</v>
      </c>
      <c r="H80" s="182">
        <f t="shared" ref="H80:H86" si="34">G80*C80</f>
        <v>97.02</v>
      </c>
      <c r="I80" s="182">
        <f t="shared" ref="I80:I86" si="35">H80+F80</f>
        <v>410.62</v>
      </c>
      <c r="J80" s="183"/>
      <c r="K80" s="224"/>
    </row>
    <row r="81" spans="1:14" ht="19.8">
      <c r="A81" s="181">
        <v>3</v>
      </c>
      <c r="B81" s="172" t="s">
        <v>125</v>
      </c>
      <c r="C81" s="201">
        <f>(6.9)*1.03</f>
        <v>7.1070000000000002</v>
      </c>
      <c r="D81" s="75" t="s">
        <v>1</v>
      </c>
      <c r="E81" s="170">
        <v>21.05</v>
      </c>
      <c r="F81" s="182">
        <f t="shared" si="33"/>
        <v>149.60235</v>
      </c>
      <c r="G81" s="182">
        <v>4.0999999999999996</v>
      </c>
      <c r="H81" s="182">
        <f t="shared" si="34"/>
        <v>29.1387</v>
      </c>
      <c r="I81" s="182">
        <f t="shared" si="35"/>
        <v>178.74105</v>
      </c>
      <c r="J81" s="183"/>
      <c r="K81" s="248"/>
    </row>
    <row r="82" spans="1:14" ht="19.8">
      <c r="A82" s="181">
        <v>4</v>
      </c>
      <c r="B82" s="172" t="s">
        <v>127</v>
      </c>
      <c r="C82" s="201">
        <f>(20.3)*1.05</f>
        <v>21.315000000000001</v>
      </c>
      <c r="D82" s="75" t="s">
        <v>1</v>
      </c>
      <c r="E82" s="170">
        <v>20.6</v>
      </c>
      <c r="F82" s="182">
        <f t="shared" si="33"/>
        <v>439.08900000000006</v>
      </c>
      <c r="G82" s="182">
        <v>4.0999999999999996</v>
      </c>
      <c r="H82" s="182">
        <f t="shared" si="34"/>
        <v>87.391499999999994</v>
      </c>
      <c r="I82" s="182">
        <f t="shared" si="35"/>
        <v>526.48050000000001</v>
      </c>
      <c r="J82" s="183"/>
      <c r="K82" s="220"/>
    </row>
    <row r="83" spans="1:14" ht="19.8">
      <c r="A83" s="181">
        <v>5</v>
      </c>
      <c r="B83" s="172" t="s">
        <v>124</v>
      </c>
      <c r="C83" s="201">
        <f>(C81+C82)*0.03</f>
        <v>0.85265999999999997</v>
      </c>
      <c r="D83" s="75" t="s">
        <v>1</v>
      </c>
      <c r="E83" s="170">
        <v>45.48</v>
      </c>
      <c r="F83" s="182">
        <f t="shared" si="33"/>
        <v>38.778976799999995</v>
      </c>
      <c r="G83" s="182">
        <v>0</v>
      </c>
      <c r="H83" s="182">
        <f t="shared" si="34"/>
        <v>0</v>
      </c>
      <c r="I83" s="182">
        <f t="shared" si="35"/>
        <v>38.778976799999995</v>
      </c>
      <c r="J83" s="183"/>
      <c r="K83" s="229"/>
    </row>
    <row r="84" spans="1:14" ht="20.399999999999999">
      <c r="A84" s="181">
        <v>6</v>
      </c>
      <c r="B84" s="172" t="s">
        <v>257</v>
      </c>
      <c r="C84" s="201">
        <f>C85*0.8</f>
        <v>1.032</v>
      </c>
      <c r="D84" s="75" t="s">
        <v>14</v>
      </c>
      <c r="E84" s="170">
        <v>380</v>
      </c>
      <c r="F84" s="182">
        <f t="shared" si="33"/>
        <v>392.16</v>
      </c>
      <c r="G84" s="182">
        <v>0</v>
      </c>
      <c r="H84" s="182">
        <f t="shared" si="34"/>
        <v>0</v>
      </c>
      <c r="I84" s="182">
        <f t="shared" si="35"/>
        <v>392.16</v>
      </c>
      <c r="J84" s="159"/>
      <c r="K84" s="249"/>
    </row>
    <row r="85" spans="1:14" ht="19.8">
      <c r="A85" s="181">
        <v>7</v>
      </c>
      <c r="B85" s="172" t="s">
        <v>258</v>
      </c>
      <c r="C85" s="201">
        <v>1.29</v>
      </c>
      <c r="D85" s="75" t="s">
        <v>14</v>
      </c>
      <c r="E85" s="170">
        <v>0</v>
      </c>
      <c r="F85" s="182">
        <f t="shared" si="33"/>
        <v>0</v>
      </c>
      <c r="G85" s="182">
        <v>133</v>
      </c>
      <c r="H85" s="182">
        <f t="shared" si="34"/>
        <v>171.57</v>
      </c>
      <c r="I85" s="182">
        <f t="shared" si="35"/>
        <v>171.57</v>
      </c>
      <c r="J85" s="207"/>
      <c r="K85" s="248"/>
    </row>
    <row r="86" spans="1:14" s="208" customFormat="1" ht="19.8">
      <c r="A86" s="181">
        <v>8</v>
      </c>
      <c r="B86" s="172" t="s">
        <v>122</v>
      </c>
      <c r="C86" s="201">
        <f>0.25*C85</f>
        <v>0.32250000000000001</v>
      </c>
      <c r="D86" s="75" t="s">
        <v>1</v>
      </c>
      <c r="E86" s="170">
        <v>51.4</v>
      </c>
      <c r="F86" s="182">
        <f t="shared" si="33"/>
        <v>16.576499999999999</v>
      </c>
      <c r="G86" s="182">
        <v>0</v>
      </c>
      <c r="H86" s="182">
        <f t="shared" si="34"/>
        <v>0</v>
      </c>
      <c r="I86" s="182">
        <f t="shared" si="35"/>
        <v>16.576499999999999</v>
      </c>
      <c r="J86" s="183"/>
      <c r="K86" s="248"/>
    </row>
    <row r="87" spans="1:14" ht="20.399999999999999">
      <c r="A87" s="221"/>
      <c r="B87" s="159" t="s">
        <v>138</v>
      </c>
      <c r="C87" s="201"/>
      <c r="D87" s="75"/>
      <c r="E87" s="211"/>
      <c r="F87" s="206">
        <f>SUM(F79:F86)</f>
        <v>2688.4244267999998</v>
      </c>
      <c r="G87" s="213"/>
      <c r="H87" s="206">
        <f>SUM(H79:H86)</f>
        <v>635.36019999999996</v>
      </c>
      <c r="I87" s="206">
        <f t="shared" ref="I87" si="36">H87+F87</f>
        <v>3323.7846267999998</v>
      </c>
      <c r="J87" s="183"/>
    </row>
    <row r="88" spans="1:14" s="253" customFormat="1" ht="20.399999999999999">
      <c r="A88" s="221"/>
      <c r="B88" s="306" t="s">
        <v>143</v>
      </c>
      <c r="C88" s="307"/>
      <c r="D88" s="308"/>
      <c r="E88" s="309"/>
      <c r="F88" s="310">
        <f>SUM(F87,F77,F66,F56,F41,F29,F19)</f>
        <v>324908.94422044</v>
      </c>
      <c r="G88" s="311"/>
      <c r="H88" s="310">
        <f>SUM(H87,H77,H66,H56,H41,H29,H19)</f>
        <v>84677.514029999991</v>
      </c>
      <c r="I88" s="310">
        <f>SUM(I87,I77,I66,I56,I41,I29,I19)</f>
        <v>409586.45825043996</v>
      </c>
      <c r="J88" s="183"/>
      <c r="K88" s="252"/>
    </row>
    <row r="89" spans="1:14" ht="20.399999999999999">
      <c r="A89" s="221"/>
      <c r="B89" s="222"/>
      <c r="C89" s="201"/>
      <c r="D89" s="75"/>
      <c r="E89" s="211"/>
      <c r="F89" s="223"/>
      <c r="G89" s="213"/>
      <c r="H89" s="223"/>
      <c r="I89" s="223"/>
      <c r="J89" s="183"/>
    </row>
    <row r="90" spans="1:14" ht="20.399999999999999">
      <c r="A90" s="277">
        <v>2</v>
      </c>
      <c r="B90" s="278" t="s">
        <v>115</v>
      </c>
      <c r="C90" s="201"/>
      <c r="D90" s="75"/>
      <c r="E90" s="211"/>
      <c r="F90" s="189"/>
      <c r="G90" s="213"/>
      <c r="H90" s="189"/>
      <c r="I90" s="189"/>
      <c r="J90" s="183"/>
    </row>
    <row r="91" spans="1:14" ht="20.399999999999999">
      <c r="A91" s="255">
        <v>2.1</v>
      </c>
      <c r="B91" s="246" t="s">
        <v>144</v>
      </c>
      <c r="C91" s="201"/>
      <c r="D91" s="75"/>
      <c r="E91" s="211"/>
      <c r="F91" s="189"/>
      <c r="G91" s="213"/>
      <c r="H91" s="189"/>
      <c r="I91" s="189"/>
      <c r="J91" s="183"/>
      <c r="L91" s="248"/>
      <c r="M91" s="248"/>
    </row>
    <row r="92" spans="1:14" ht="19.8">
      <c r="A92" s="181">
        <v>1</v>
      </c>
      <c r="B92" s="172" t="s">
        <v>145</v>
      </c>
      <c r="C92" s="174">
        <v>1</v>
      </c>
      <c r="D92" s="173" t="s">
        <v>37</v>
      </c>
      <c r="E92" s="170">
        <v>16900</v>
      </c>
      <c r="F92" s="182">
        <f>E92*C92</f>
        <v>16900</v>
      </c>
      <c r="G92" s="182">
        <v>2800</v>
      </c>
      <c r="H92" s="182">
        <f>G92*C92</f>
        <v>2800</v>
      </c>
      <c r="I92" s="182">
        <f>H92+F92</f>
        <v>19700</v>
      </c>
      <c r="J92" s="183"/>
      <c r="K92" s="248"/>
      <c r="L92" s="250"/>
      <c r="M92" s="250"/>
      <c r="N92" s="123"/>
    </row>
    <row r="93" spans="1:14" ht="20.399999999999999">
      <c r="A93" s="181">
        <v>2</v>
      </c>
      <c r="B93" s="172" t="s">
        <v>146</v>
      </c>
      <c r="C93" s="174">
        <v>1</v>
      </c>
      <c r="D93" s="173" t="s">
        <v>37</v>
      </c>
      <c r="E93" s="170">
        <v>6500</v>
      </c>
      <c r="F93" s="182">
        <f t="shared" ref="F93:F98" si="37">E93*C93</f>
        <v>6500</v>
      </c>
      <c r="G93" s="182">
        <v>0</v>
      </c>
      <c r="H93" s="182">
        <f t="shared" ref="H93:H98" si="38">G93*C93</f>
        <v>0</v>
      </c>
      <c r="I93" s="182">
        <f t="shared" ref="I93:I98" si="39">H93+F93</f>
        <v>6500</v>
      </c>
      <c r="J93" s="159"/>
      <c r="K93" s="248"/>
      <c r="L93" s="250"/>
      <c r="M93" s="250"/>
      <c r="N93" s="123"/>
    </row>
    <row r="94" spans="1:14" ht="19.8">
      <c r="A94" s="181">
        <v>3</v>
      </c>
      <c r="B94" s="172" t="s">
        <v>147</v>
      </c>
      <c r="C94" s="174">
        <v>2</v>
      </c>
      <c r="D94" s="173" t="s">
        <v>37</v>
      </c>
      <c r="E94" s="170">
        <v>7863</v>
      </c>
      <c r="F94" s="182">
        <f t="shared" si="37"/>
        <v>15726</v>
      </c>
      <c r="G94" s="182">
        <v>1800</v>
      </c>
      <c r="H94" s="182">
        <f t="shared" si="38"/>
        <v>3600</v>
      </c>
      <c r="I94" s="182">
        <f t="shared" si="39"/>
        <v>19326</v>
      </c>
      <c r="J94" s="183"/>
      <c r="K94" s="248"/>
      <c r="L94" s="250"/>
      <c r="M94" s="250"/>
      <c r="N94" s="123"/>
    </row>
    <row r="95" spans="1:14" ht="19.8">
      <c r="A95" s="181">
        <v>4</v>
      </c>
      <c r="B95" s="172" t="s">
        <v>148</v>
      </c>
      <c r="C95" s="174">
        <v>1</v>
      </c>
      <c r="D95" s="173" t="s">
        <v>37</v>
      </c>
      <c r="E95" s="170">
        <v>9900</v>
      </c>
      <c r="F95" s="182">
        <f t="shared" si="37"/>
        <v>9900</v>
      </c>
      <c r="G95" s="182">
        <v>2200</v>
      </c>
      <c r="H95" s="182">
        <f t="shared" si="38"/>
        <v>2200</v>
      </c>
      <c r="I95" s="182">
        <f t="shared" si="39"/>
        <v>12100</v>
      </c>
      <c r="J95" s="183"/>
      <c r="K95" s="248"/>
      <c r="L95" s="250"/>
      <c r="M95" s="250"/>
      <c r="N95" s="123"/>
    </row>
    <row r="96" spans="1:14" ht="19.8">
      <c r="A96" s="181">
        <v>5</v>
      </c>
      <c r="B96" s="172" t="s">
        <v>149</v>
      </c>
      <c r="C96" s="174">
        <v>2</v>
      </c>
      <c r="D96" s="173" t="s">
        <v>37</v>
      </c>
      <c r="E96" s="170">
        <v>9187</v>
      </c>
      <c r="F96" s="182">
        <f t="shared" si="37"/>
        <v>18374</v>
      </c>
      <c r="G96" s="182">
        <v>1700</v>
      </c>
      <c r="H96" s="182">
        <f t="shared" si="38"/>
        <v>3400</v>
      </c>
      <c r="I96" s="182">
        <f t="shared" si="39"/>
        <v>21774</v>
      </c>
      <c r="J96" s="183"/>
      <c r="K96" s="248"/>
      <c r="L96" s="250"/>
      <c r="M96" s="250"/>
      <c r="N96" s="123"/>
    </row>
    <row r="97" spans="1:14" ht="19.8">
      <c r="A97" s="181">
        <v>6</v>
      </c>
      <c r="B97" s="172" t="s">
        <v>150</v>
      </c>
      <c r="C97" s="174">
        <v>4</v>
      </c>
      <c r="D97" s="173" t="s">
        <v>37</v>
      </c>
      <c r="E97" s="170">
        <v>2671</v>
      </c>
      <c r="F97" s="182">
        <f t="shared" si="37"/>
        <v>10684</v>
      </c>
      <c r="G97" s="182">
        <v>600</v>
      </c>
      <c r="H97" s="182">
        <f t="shared" si="38"/>
        <v>2400</v>
      </c>
      <c r="I97" s="182">
        <f t="shared" si="39"/>
        <v>13084</v>
      </c>
      <c r="J97" s="183"/>
      <c r="K97" s="248"/>
      <c r="L97" s="250"/>
      <c r="M97" s="250"/>
      <c r="N97" s="123"/>
    </row>
    <row r="98" spans="1:14" ht="19.8">
      <c r="A98" s="181">
        <v>7</v>
      </c>
      <c r="B98" s="172" t="s">
        <v>151</v>
      </c>
      <c r="C98" s="174">
        <v>1</v>
      </c>
      <c r="D98" s="173" t="s">
        <v>37</v>
      </c>
      <c r="E98" s="170">
        <v>7046</v>
      </c>
      <c r="F98" s="182">
        <f t="shared" si="37"/>
        <v>7046</v>
      </c>
      <c r="G98" s="182">
        <v>1300</v>
      </c>
      <c r="H98" s="182">
        <f t="shared" si="38"/>
        <v>1300</v>
      </c>
      <c r="I98" s="182">
        <f t="shared" si="39"/>
        <v>8346</v>
      </c>
      <c r="J98" s="183"/>
      <c r="K98" s="248"/>
      <c r="L98" s="250"/>
      <c r="M98" s="250"/>
      <c r="N98" s="123"/>
    </row>
    <row r="99" spans="1:14" ht="20.399999999999999">
      <c r="A99" s="190"/>
      <c r="B99" s="159" t="s">
        <v>152</v>
      </c>
      <c r="C99" s="201"/>
      <c r="D99" s="75"/>
      <c r="E99" s="211"/>
      <c r="F99" s="206">
        <f>SUM(F92:F98)</f>
        <v>85130</v>
      </c>
      <c r="G99" s="213" t="s">
        <v>0</v>
      </c>
      <c r="H99" s="206">
        <f>SUM(H92:H98)</f>
        <v>15700</v>
      </c>
      <c r="I99" s="206">
        <f t="shared" ref="I99" si="40">H99+F99</f>
        <v>100830</v>
      </c>
      <c r="J99" s="183"/>
      <c r="L99" s="250"/>
      <c r="M99" s="250"/>
      <c r="N99" s="250"/>
    </row>
    <row r="100" spans="1:14" ht="20.399999999999999">
      <c r="A100" s="255">
        <v>2.2000000000000002</v>
      </c>
      <c r="B100" s="246" t="s">
        <v>153</v>
      </c>
      <c r="C100" s="201"/>
      <c r="D100" s="75"/>
      <c r="E100" s="211"/>
      <c r="F100" s="189"/>
      <c r="G100" s="213"/>
      <c r="H100" s="189"/>
      <c r="I100" s="189"/>
      <c r="J100" s="183"/>
    </row>
    <row r="101" spans="1:14" ht="19.8">
      <c r="A101" s="181">
        <v>1</v>
      </c>
      <c r="B101" s="172" t="s">
        <v>154</v>
      </c>
      <c r="C101" s="174">
        <f>205+2.4+12.8+27.56</f>
        <v>247.76000000000002</v>
      </c>
      <c r="D101" s="173" t="s">
        <v>14</v>
      </c>
      <c r="E101" s="170">
        <v>245</v>
      </c>
      <c r="F101" s="182">
        <f t="shared" ref="F101:F107" si="41">E101*C101</f>
        <v>60701.200000000004</v>
      </c>
      <c r="G101" s="182">
        <v>89</v>
      </c>
      <c r="H101" s="182">
        <f t="shared" ref="H101:H107" si="42">G101*C101</f>
        <v>22050.640000000003</v>
      </c>
      <c r="I101" s="182">
        <f t="shared" ref="I101:I107" si="43">H101+F101</f>
        <v>82751.840000000011</v>
      </c>
      <c r="J101" s="183"/>
      <c r="K101" s="224"/>
    </row>
    <row r="102" spans="1:14" ht="19.8">
      <c r="A102" s="181">
        <v>2</v>
      </c>
      <c r="B102" s="172" t="s">
        <v>155</v>
      </c>
      <c r="C102" s="174">
        <v>43</v>
      </c>
      <c r="D102" s="173" t="s">
        <v>14</v>
      </c>
      <c r="E102" s="170">
        <v>460</v>
      </c>
      <c r="F102" s="182">
        <f t="shared" si="41"/>
        <v>19780</v>
      </c>
      <c r="G102" s="182">
        <v>167</v>
      </c>
      <c r="H102" s="182">
        <f t="shared" si="42"/>
        <v>7181</v>
      </c>
      <c r="I102" s="182">
        <f t="shared" si="43"/>
        <v>26961</v>
      </c>
      <c r="J102" s="183"/>
      <c r="K102" s="224"/>
    </row>
    <row r="103" spans="1:14" ht="19.8">
      <c r="A103" s="181">
        <v>3</v>
      </c>
      <c r="B103" s="172" t="s">
        <v>178</v>
      </c>
      <c r="C103" s="174">
        <f>205</f>
        <v>205</v>
      </c>
      <c r="D103" s="173" t="s">
        <v>14</v>
      </c>
      <c r="E103" s="170">
        <v>58</v>
      </c>
      <c r="F103" s="182">
        <f t="shared" si="41"/>
        <v>11890</v>
      </c>
      <c r="G103" s="182">
        <v>82</v>
      </c>
      <c r="H103" s="182">
        <f t="shared" si="42"/>
        <v>16810</v>
      </c>
      <c r="I103" s="182">
        <f t="shared" si="43"/>
        <v>28700</v>
      </c>
      <c r="J103" s="183"/>
      <c r="K103" s="224"/>
    </row>
    <row r="104" spans="1:14" ht="19.8">
      <c r="A104" s="181">
        <v>4</v>
      </c>
      <c r="B104" s="172" t="s">
        <v>179</v>
      </c>
      <c r="C104" s="174">
        <f>31.84+9.2+2.5+205+4.8+12.8+27.56</f>
        <v>293.7</v>
      </c>
      <c r="D104" s="173" t="s">
        <v>14</v>
      </c>
      <c r="E104" s="170">
        <v>58</v>
      </c>
      <c r="F104" s="182">
        <f t="shared" si="41"/>
        <v>17034.599999999999</v>
      </c>
      <c r="G104" s="182">
        <v>95</v>
      </c>
      <c r="H104" s="182">
        <f t="shared" si="42"/>
        <v>27901.5</v>
      </c>
      <c r="I104" s="182">
        <f t="shared" si="43"/>
        <v>44936.1</v>
      </c>
      <c r="J104" s="183"/>
      <c r="K104" s="224"/>
    </row>
    <row r="105" spans="1:14" ht="19.8">
      <c r="A105" s="181">
        <v>5</v>
      </c>
      <c r="B105" s="172" t="s">
        <v>156</v>
      </c>
      <c r="C105" s="174">
        <f>108+18</f>
        <v>126</v>
      </c>
      <c r="D105" s="173" t="s">
        <v>14</v>
      </c>
      <c r="E105" s="170">
        <v>63</v>
      </c>
      <c r="F105" s="182">
        <f t="shared" si="41"/>
        <v>7938</v>
      </c>
      <c r="G105" s="182">
        <v>100</v>
      </c>
      <c r="H105" s="182">
        <f t="shared" si="42"/>
        <v>12600</v>
      </c>
      <c r="I105" s="182">
        <f t="shared" si="43"/>
        <v>20538</v>
      </c>
      <c r="J105" s="183"/>
      <c r="K105" s="224"/>
    </row>
    <row r="106" spans="1:14" ht="19.8">
      <c r="A106" s="181">
        <v>6</v>
      </c>
      <c r="B106" s="172" t="s">
        <v>157</v>
      </c>
      <c r="C106" s="174">
        <v>85</v>
      </c>
      <c r="D106" s="173" t="s">
        <v>158</v>
      </c>
      <c r="E106" s="170">
        <v>70</v>
      </c>
      <c r="F106" s="182">
        <f t="shared" si="41"/>
        <v>5950</v>
      </c>
      <c r="G106" s="182">
        <v>44</v>
      </c>
      <c r="H106" s="182">
        <f t="shared" si="42"/>
        <v>3740</v>
      </c>
      <c r="I106" s="182">
        <f t="shared" si="43"/>
        <v>9690</v>
      </c>
      <c r="J106" s="183"/>
      <c r="K106" s="224"/>
    </row>
    <row r="107" spans="1:14" ht="19.8">
      <c r="A107" s="181">
        <v>7</v>
      </c>
      <c r="B107" s="172" t="s">
        <v>159</v>
      </c>
      <c r="C107" s="174">
        <v>321</v>
      </c>
      <c r="D107" s="173" t="s">
        <v>158</v>
      </c>
      <c r="E107" s="170">
        <v>25</v>
      </c>
      <c r="F107" s="182">
        <f t="shared" si="41"/>
        <v>8025</v>
      </c>
      <c r="G107" s="182">
        <v>25</v>
      </c>
      <c r="H107" s="182">
        <f t="shared" si="42"/>
        <v>8025</v>
      </c>
      <c r="I107" s="182">
        <f t="shared" si="43"/>
        <v>16050</v>
      </c>
      <c r="J107" s="183"/>
      <c r="K107" s="224"/>
    </row>
    <row r="108" spans="1:14" ht="20.399999999999999">
      <c r="A108" s="190"/>
      <c r="B108" s="159" t="s">
        <v>160</v>
      </c>
      <c r="C108" s="201"/>
      <c r="D108" s="75"/>
      <c r="E108" s="211"/>
      <c r="F108" s="206">
        <f>SUM(F101:F107)</f>
        <v>131318.80000000002</v>
      </c>
      <c r="G108" s="213"/>
      <c r="H108" s="206">
        <f>SUM(H101:H107)</f>
        <v>98308.14</v>
      </c>
      <c r="I108" s="206">
        <f t="shared" ref="I108" si="44">H108+F108</f>
        <v>229626.94</v>
      </c>
      <c r="J108" s="183"/>
    </row>
    <row r="109" spans="1:14" ht="20.399999999999999">
      <c r="A109" s="255">
        <v>2.2999999999999998</v>
      </c>
      <c r="B109" s="246" t="s">
        <v>161</v>
      </c>
      <c r="C109" s="201"/>
      <c r="D109" s="75"/>
      <c r="E109" s="211"/>
      <c r="F109" s="189"/>
      <c r="G109" s="213"/>
      <c r="H109" s="189"/>
      <c r="I109" s="189"/>
      <c r="J109" s="183"/>
      <c r="K109" s="276"/>
    </row>
    <row r="110" spans="1:14" ht="19.8" hidden="1">
      <c r="A110" s="181">
        <v>1</v>
      </c>
      <c r="B110" s="172" t="s">
        <v>162</v>
      </c>
      <c r="C110" s="174">
        <v>157</v>
      </c>
      <c r="D110" s="173" t="s">
        <v>14</v>
      </c>
      <c r="E110" s="211">
        <v>0</v>
      </c>
      <c r="F110" s="182">
        <f>E110*C110</f>
        <v>0</v>
      </c>
      <c r="G110" s="182">
        <v>0</v>
      </c>
      <c r="H110" s="182">
        <f>G110*C110</f>
        <v>0</v>
      </c>
      <c r="I110" s="182">
        <f>H110+F110</f>
        <v>0</v>
      </c>
      <c r="J110" s="183"/>
      <c r="K110" s="224"/>
    </row>
    <row r="111" spans="1:14" ht="19.8" hidden="1">
      <c r="A111" s="181">
        <v>2</v>
      </c>
      <c r="B111" s="172" t="s">
        <v>163</v>
      </c>
      <c r="C111" s="174">
        <v>54</v>
      </c>
      <c r="D111" s="173" t="s">
        <v>14</v>
      </c>
      <c r="E111" s="211">
        <v>0</v>
      </c>
      <c r="F111" s="182">
        <f>E111*C111</f>
        <v>0</v>
      </c>
      <c r="G111" s="182">
        <v>0</v>
      </c>
      <c r="H111" s="182">
        <f>G111*C111</f>
        <v>0</v>
      </c>
      <c r="I111" s="182">
        <f t="shared" ref="I111:I112" si="45">H111+F111</f>
        <v>0</v>
      </c>
      <c r="J111" s="183"/>
      <c r="K111" s="224"/>
    </row>
    <row r="112" spans="1:14" ht="19.8">
      <c r="A112" s="181">
        <v>1</v>
      </c>
      <c r="B112" s="172" t="s">
        <v>181</v>
      </c>
      <c r="C112" s="174">
        <v>5</v>
      </c>
      <c r="D112" s="173" t="s">
        <v>14</v>
      </c>
      <c r="E112" s="170">
        <v>250</v>
      </c>
      <c r="F112" s="182">
        <f>E112*C112</f>
        <v>1250</v>
      </c>
      <c r="G112" s="182">
        <v>99</v>
      </c>
      <c r="H112" s="182">
        <f>G112*C112</f>
        <v>495</v>
      </c>
      <c r="I112" s="182">
        <f t="shared" si="45"/>
        <v>1745</v>
      </c>
      <c r="J112" s="183"/>
      <c r="K112" s="224"/>
    </row>
    <row r="113" spans="1:13" ht="20.399999999999999">
      <c r="A113" s="218"/>
      <c r="B113" s="159" t="s">
        <v>164</v>
      </c>
      <c r="C113" s="201"/>
      <c r="D113" s="75"/>
      <c r="E113" s="211"/>
      <c r="F113" s="206">
        <f>SUM(F110:F112)</f>
        <v>1250</v>
      </c>
      <c r="G113" s="213"/>
      <c r="H113" s="206">
        <f>SUM(H110:H112)</f>
        <v>495</v>
      </c>
      <c r="I113" s="206">
        <f t="shared" ref="I113" si="46">H113+F113</f>
        <v>1745</v>
      </c>
      <c r="J113" s="183"/>
    </row>
    <row r="114" spans="1:13" ht="20.399999999999999">
      <c r="A114" s="255">
        <v>2.4</v>
      </c>
      <c r="B114" s="246" t="s">
        <v>165</v>
      </c>
      <c r="C114" s="201"/>
      <c r="D114" s="75"/>
      <c r="E114" s="211"/>
      <c r="F114" s="189"/>
      <c r="G114" s="213"/>
      <c r="H114" s="189"/>
      <c r="I114" s="189"/>
      <c r="J114" s="183"/>
    </row>
    <row r="115" spans="1:13" ht="19.8">
      <c r="A115" s="181">
        <v>1</v>
      </c>
      <c r="B115" s="172" t="s">
        <v>182</v>
      </c>
      <c r="C115" s="174">
        <v>25</v>
      </c>
      <c r="D115" s="173" t="s">
        <v>14</v>
      </c>
      <c r="E115" s="170">
        <v>410</v>
      </c>
      <c r="F115" s="182">
        <f>E115*C115</f>
        <v>10250</v>
      </c>
      <c r="G115" s="182">
        <v>91</v>
      </c>
      <c r="H115" s="182">
        <f>G115*C115</f>
        <v>2275</v>
      </c>
      <c r="I115" s="182">
        <f>H115+F115</f>
        <v>12525</v>
      </c>
      <c r="J115" s="183"/>
      <c r="K115" s="248"/>
      <c r="L115" s="313"/>
      <c r="M115" s="313"/>
    </row>
    <row r="116" spans="1:13" ht="19.8">
      <c r="A116" s="181">
        <v>2</v>
      </c>
      <c r="B116" s="172" t="s">
        <v>180</v>
      </c>
      <c r="C116" s="174">
        <v>96</v>
      </c>
      <c r="D116" s="173" t="s">
        <v>14</v>
      </c>
      <c r="E116" s="170">
        <v>76</v>
      </c>
      <c r="F116" s="182">
        <f>E116*C116</f>
        <v>7296</v>
      </c>
      <c r="G116" s="182">
        <v>100</v>
      </c>
      <c r="H116" s="182">
        <f>G116*C116</f>
        <v>9600</v>
      </c>
      <c r="I116" s="182">
        <f>H116+F116</f>
        <v>16896</v>
      </c>
      <c r="J116" s="183"/>
      <c r="K116" s="275"/>
    </row>
    <row r="117" spans="1:13" ht="20.399999999999999">
      <c r="A117" s="190"/>
      <c r="B117" s="159" t="s">
        <v>166</v>
      </c>
      <c r="C117" s="201"/>
      <c r="D117" s="75"/>
      <c r="E117" s="211"/>
      <c r="F117" s="206">
        <f>SUM(F115:F116)</f>
        <v>17546</v>
      </c>
      <c r="G117" s="213"/>
      <c r="H117" s="206">
        <f>SUM(H115:H116)</f>
        <v>11875</v>
      </c>
      <c r="I117" s="206">
        <f t="shared" ref="I117" si="47">H117+F117</f>
        <v>29421</v>
      </c>
      <c r="J117" s="183"/>
    </row>
    <row r="118" spans="1:13" ht="20.399999999999999">
      <c r="A118" s="255">
        <v>2.5</v>
      </c>
      <c r="B118" s="246" t="s">
        <v>167</v>
      </c>
      <c r="C118" s="201"/>
      <c r="D118" s="75"/>
      <c r="E118" s="211"/>
      <c r="F118" s="189"/>
      <c r="G118" s="213"/>
      <c r="H118" s="189"/>
      <c r="I118" s="189"/>
      <c r="J118" s="183"/>
    </row>
    <row r="119" spans="1:13" ht="20.399999999999999">
      <c r="A119" s="181">
        <v>1</v>
      </c>
      <c r="B119" s="172" t="s">
        <v>168</v>
      </c>
      <c r="C119" s="174">
        <v>157</v>
      </c>
      <c r="D119" s="173" t="s">
        <v>14</v>
      </c>
      <c r="E119" s="170">
        <v>280</v>
      </c>
      <c r="F119" s="182">
        <f>E119*C119</f>
        <v>43960</v>
      </c>
      <c r="G119" s="182">
        <v>75</v>
      </c>
      <c r="H119" s="182">
        <f>G119*C119</f>
        <v>11775</v>
      </c>
      <c r="I119" s="182">
        <f>H119+F119</f>
        <v>55735</v>
      </c>
      <c r="J119" s="159"/>
      <c r="K119" s="248"/>
    </row>
    <row r="120" spans="1:13" ht="19.8">
      <c r="A120" s="181">
        <v>2</v>
      </c>
      <c r="B120" s="172" t="s">
        <v>169</v>
      </c>
      <c r="C120" s="174">
        <v>13</v>
      </c>
      <c r="D120" s="173" t="s">
        <v>14</v>
      </c>
      <c r="E120" s="170">
        <v>58</v>
      </c>
      <c r="F120" s="182">
        <f>E120*C120</f>
        <v>754</v>
      </c>
      <c r="G120" s="182">
        <v>82</v>
      </c>
      <c r="H120" s="182">
        <f>G120*C120</f>
        <v>1066</v>
      </c>
      <c r="I120" s="182">
        <f>H120+F120</f>
        <v>1820</v>
      </c>
      <c r="J120" s="183"/>
      <c r="K120" s="248"/>
    </row>
    <row r="121" spans="1:13" ht="19.8">
      <c r="A121" s="181">
        <v>3</v>
      </c>
      <c r="B121" s="172" t="s">
        <v>272</v>
      </c>
      <c r="C121" s="174">
        <v>69</v>
      </c>
      <c r="D121" s="173" t="s">
        <v>14</v>
      </c>
      <c r="E121" s="170">
        <v>250</v>
      </c>
      <c r="F121" s="182">
        <f>E121*C121</f>
        <v>17250</v>
      </c>
      <c r="G121" s="182">
        <v>100</v>
      </c>
      <c r="H121" s="182">
        <f>G121*C121</f>
        <v>6900</v>
      </c>
      <c r="I121" s="182">
        <f>H121+F121</f>
        <v>24150</v>
      </c>
      <c r="J121" s="183"/>
      <c r="K121" s="275"/>
    </row>
    <row r="122" spans="1:13" ht="19.8">
      <c r="A122" s="279"/>
      <c r="B122" s="172" t="s">
        <v>267</v>
      </c>
      <c r="C122" s="201"/>
      <c r="D122" s="173"/>
      <c r="E122" s="170"/>
      <c r="F122" s="189"/>
      <c r="G122" s="182"/>
      <c r="H122" s="189"/>
      <c r="I122" s="189"/>
      <c r="J122" s="183"/>
      <c r="K122" s="275"/>
    </row>
    <row r="123" spans="1:13" ht="20.399999999999999">
      <c r="A123" s="221"/>
      <c r="B123" s="159" t="s">
        <v>170</v>
      </c>
      <c r="C123" s="201"/>
      <c r="D123" s="75"/>
      <c r="E123" s="211"/>
      <c r="F123" s="206">
        <f>SUM(F119:F121)</f>
        <v>61964</v>
      </c>
      <c r="G123" s="213"/>
      <c r="H123" s="206">
        <f>SUM(H119:H121)</f>
        <v>19741</v>
      </c>
      <c r="I123" s="206">
        <f>H123+F123</f>
        <v>81705</v>
      </c>
      <c r="J123" s="183"/>
    </row>
    <row r="124" spans="1:13" ht="20.399999999999999">
      <c r="A124" s="255">
        <v>2.6</v>
      </c>
      <c r="B124" s="246" t="s">
        <v>171</v>
      </c>
      <c r="C124" s="201"/>
      <c r="D124" s="173"/>
      <c r="E124" s="211"/>
      <c r="F124" s="189"/>
      <c r="G124" s="213"/>
      <c r="H124" s="189"/>
      <c r="I124" s="189"/>
      <c r="J124" s="183"/>
    </row>
    <row r="125" spans="1:13" ht="19.8">
      <c r="A125" s="181">
        <v>1</v>
      </c>
      <c r="B125" s="172" t="s">
        <v>172</v>
      </c>
      <c r="C125" s="174">
        <v>205</v>
      </c>
      <c r="D125" s="173" t="s">
        <v>14</v>
      </c>
      <c r="E125" s="170">
        <v>40</v>
      </c>
      <c r="F125" s="182">
        <f>E125*C125</f>
        <v>8200</v>
      </c>
      <c r="G125" s="182">
        <v>30</v>
      </c>
      <c r="H125" s="182">
        <f>G125*C125</f>
        <v>6150</v>
      </c>
      <c r="I125" s="182">
        <f>H125+F125</f>
        <v>14350</v>
      </c>
      <c r="J125" s="183"/>
      <c r="K125" s="224"/>
    </row>
    <row r="126" spans="1:13" ht="19.8">
      <c r="A126" s="279">
        <v>2</v>
      </c>
      <c r="B126" s="172" t="s">
        <v>173</v>
      </c>
      <c r="C126" s="201">
        <v>158</v>
      </c>
      <c r="D126" s="173" t="s">
        <v>14</v>
      </c>
      <c r="E126" s="170">
        <v>50</v>
      </c>
      <c r="F126" s="182">
        <f t="shared" ref="F126:F127" si="48">E126*C126</f>
        <v>7900</v>
      </c>
      <c r="G126" s="182">
        <v>34</v>
      </c>
      <c r="H126" s="182">
        <f t="shared" ref="H126:H127" si="49">G126*C126</f>
        <v>5372</v>
      </c>
      <c r="I126" s="182">
        <f t="shared" ref="I126:I127" si="50">H126+F126</f>
        <v>13272</v>
      </c>
      <c r="J126" s="183"/>
      <c r="K126" s="224"/>
    </row>
    <row r="127" spans="1:13" ht="19.8">
      <c r="A127" s="181">
        <v>3</v>
      </c>
      <c r="B127" s="172" t="s">
        <v>174</v>
      </c>
      <c r="C127" s="201">
        <f>C119+C121</f>
        <v>226</v>
      </c>
      <c r="D127" s="173" t="s">
        <v>14</v>
      </c>
      <c r="E127" s="170">
        <v>40</v>
      </c>
      <c r="F127" s="182">
        <f t="shared" si="48"/>
        <v>9040</v>
      </c>
      <c r="G127" s="182">
        <v>30</v>
      </c>
      <c r="H127" s="182">
        <f t="shared" si="49"/>
        <v>6780</v>
      </c>
      <c r="I127" s="182">
        <f t="shared" si="50"/>
        <v>15820</v>
      </c>
      <c r="J127" s="183"/>
      <c r="K127" s="224"/>
    </row>
    <row r="128" spans="1:13" ht="20.399999999999999">
      <c r="A128" s="221"/>
      <c r="B128" s="159" t="s">
        <v>175</v>
      </c>
      <c r="C128" s="201"/>
      <c r="D128" s="75"/>
      <c r="E128" s="211"/>
      <c r="F128" s="206">
        <f>SUM(F125:F127)</f>
        <v>25140</v>
      </c>
      <c r="G128" s="213"/>
      <c r="H128" s="206">
        <f>SUM(H125:H127)</f>
        <v>18302</v>
      </c>
      <c r="I128" s="206">
        <f>H128+F128</f>
        <v>43442</v>
      </c>
      <c r="J128" s="183"/>
    </row>
    <row r="129" spans="1:11" ht="20.399999999999999">
      <c r="A129" s="255">
        <v>2.7</v>
      </c>
      <c r="B129" s="246" t="s">
        <v>190</v>
      </c>
      <c r="C129" s="201"/>
      <c r="D129" s="173"/>
      <c r="E129" s="211"/>
      <c r="F129" s="189"/>
      <c r="G129" s="213"/>
      <c r="H129" s="189"/>
      <c r="I129" s="189"/>
      <c r="J129" s="183"/>
    </row>
    <row r="130" spans="1:11" ht="19.8">
      <c r="A130" s="279">
        <v>1</v>
      </c>
      <c r="B130" s="172" t="s">
        <v>268</v>
      </c>
      <c r="C130" s="201">
        <v>352</v>
      </c>
      <c r="D130" s="173" t="s">
        <v>1</v>
      </c>
      <c r="E130" s="170">
        <v>24.09</v>
      </c>
      <c r="F130" s="189">
        <f t="shared" ref="F130" si="51">E130*C130</f>
        <v>8479.68</v>
      </c>
      <c r="G130" s="182">
        <v>10</v>
      </c>
      <c r="H130" s="189">
        <f t="shared" ref="H130" si="52">G130*C130</f>
        <v>3520</v>
      </c>
      <c r="I130" s="189">
        <f t="shared" ref="I130:I133" si="53">H130+F130</f>
        <v>11999.68</v>
      </c>
      <c r="J130" s="183"/>
      <c r="K130" s="224"/>
    </row>
    <row r="131" spans="1:11" ht="19.8">
      <c r="A131" s="279">
        <v>2</v>
      </c>
      <c r="B131" s="172" t="s">
        <v>192</v>
      </c>
      <c r="C131" s="201">
        <v>70</v>
      </c>
      <c r="D131" s="173" t="s">
        <v>14</v>
      </c>
      <c r="E131" s="170">
        <v>50</v>
      </c>
      <c r="F131" s="189">
        <f t="shared" ref="F131:F132" si="54">E131*C131</f>
        <v>3500</v>
      </c>
      <c r="G131" s="182">
        <f>E131*0.35</f>
        <v>17.5</v>
      </c>
      <c r="H131" s="189">
        <f t="shared" ref="H131:H132" si="55">G131*C131</f>
        <v>1225</v>
      </c>
      <c r="I131" s="189">
        <f t="shared" si="53"/>
        <v>4725</v>
      </c>
      <c r="J131" s="183"/>
      <c r="K131" s="248"/>
    </row>
    <row r="132" spans="1:11" ht="19.8">
      <c r="A132" s="279">
        <v>3</v>
      </c>
      <c r="B132" s="172" t="s">
        <v>259</v>
      </c>
      <c r="C132" s="201">
        <v>24</v>
      </c>
      <c r="D132" s="173" t="s">
        <v>14</v>
      </c>
      <c r="E132" s="170">
        <v>45</v>
      </c>
      <c r="F132" s="189">
        <f t="shared" si="54"/>
        <v>1080</v>
      </c>
      <c r="G132" s="182">
        <v>35</v>
      </c>
      <c r="H132" s="189">
        <f t="shared" si="55"/>
        <v>840</v>
      </c>
      <c r="I132" s="189">
        <f t="shared" ref="I132" si="56">H132+F132</f>
        <v>1920</v>
      </c>
      <c r="J132" s="183"/>
      <c r="K132" s="224"/>
    </row>
    <row r="133" spans="1:11" ht="19.8">
      <c r="A133" s="279">
        <v>4</v>
      </c>
      <c r="B133" s="172" t="s">
        <v>260</v>
      </c>
      <c r="C133" s="201">
        <v>24</v>
      </c>
      <c r="D133" s="173" t="s">
        <v>14</v>
      </c>
      <c r="E133" s="170">
        <v>50</v>
      </c>
      <c r="F133" s="189">
        <f t="shared" ref="F133" si="57">E133*C133</f>
        <v>1200</v>
      </c>
      <c r="G133" s="182">
        <v>38</v>
      </c>
      <c r="H133" s="189">
        <f t="shared" ref="H133" si="58">G133*C133</f>
        <v>912</v>
      </c>
      <c r="I133" s="189">
        <f t="shared" si="53"/>
        <v>2112</v>
      </c>
      <c r="J133" s="183"/>
      <c r="K133" s="224"/>
    </row>
    <row r="134" spans="1:11" ht="20.399999999999999">
      <c r="A134" s="221"/>
      <c r="B134" s="159" t="s">
        <v>187</v>
      </c>
      <c r="C134" s="201"/>
      <c r="D134" s="75"/>
      <c r="E134" s="211"/>
      <c r="F134" s="206">
        <f>SUM(F130:F133)</f>
        <v>14259.68</v>
      </c>
      <c r="G134" s="213"/>
      <c r="H134" s="206">
        <f>SUM(H130:H133)</f>
        <v>6497</v>
      </c>
      <c r="I134" s="206">
        <f>SUM(I130:I133)</f>
        <v>20756.68</v>
      </c>
      <c r="J134" s="183"/>
    </row>
    <row r="135" spans="1:11" ht="20.399999999999999">
      <c r="A135" s="255">
        <v>2.8</v>
      </c>
      <c r="B135" s="246" t="s">
        <v>188</v>
      </c>
      <c r="C135" s="201"/>
      <c r="D135" s="173"/>
      <c r="E135" s="211"/>
      <c r="F135" s="189"/>
      <c r="G135" s="213"/>
      <c r="H135" s="189"/>
      <c r="I135" s="189"/>
      <c r="J135" s="183"/>
    </row>
    <row r="136" spans="1:11" ht="19.8">
      <c r="A136" s="279">
        <v>1</v>
      </c>
      <c r="B136" s="172" t="s">
        <v>234</v>
      </c>
      <c r="C136" s="201">
        <v>564</v>
      </c>
      <c r="D136" s="173" t="s">
        <v>1</v>
      </c>
      <c r="E136" s="170">
        <v>31.26</v>
      </c>
      <c r="F136" s="189">
        <f t="shared" ref="F136:F141" si="59">E136*C136</f>
        <v>17630.64</v>
      </c>
      <c r="G136" s="182">
        <v>10</v>
      </c>
      <c r="H136" s="189">
        <f t="shared" ref="H136:H141" si="60">G136*C136</f>
        <v>5640</v>
      </c>
      <c r="I136" s="189">
        <f t="shared" ref="I136:I141" si="61">H136+F136</f>
        <v>23270.639999999999</v>
      </c>
      <c r="J136" s="183"/>
      <c r="K136" s="224"/>
    </row>
    <row r="137" spans="1:11" ht="19.8">
      <c r="A137" s="279">
        <v>2</v>
      </c>
      <c r="B137" s="172" t="s">
        <v>191</v>
      </c>
      <c r="C137" s="280">
        <v>164</v>
      </c>
      <c r="D137" s="173" t="s">
        <v>225</v>
      </c>
      <c r="E137" s="170">
        <v>50</v>
      </c>
      <c r="F137" s="189">
        <f t="shared" si="59"/>
        <v>8200</v>
      </c>
      <c r="G137" s="182">
        <f>E137*0.3</f>
        <v>15</v>
      </c>
      <c r="H137" s="189">
        <f t="shared" si="60"/>
        <v>2460</v>
      </c>
      <c r="I137" s="189">
        <f t="shared" si="61"/>
        <v>10660</v>
      </c>
      <c r="J137" s="183"/>
      <c r="K137" s="233"/>
    </row>
    <row r="138" spans="1:11" ht="19.8">
      <c r="A138" s="279">
        <v>3</v>
      </c>
      <c r="B138" s="172" t="s">
        <v>233</v>
      </c>
      <c r="C138" s="201">
        <v>34.56</v>
      </c>
      <c r="D138" s="173" t="s">
        <v>1</v>
      </c>
      <c r="E138" s="170">
        <v>28.18</v>
      </c>
      <c r="F138" s="189">
        <f t="shared" si="59"/>
        <v>973.9008</v>
      </c>
      <c r="G138" s="182">
        <v>10</v>
      </c>
      <c r="H138" s="189">
        <f t="shared" si="60"/>
        <v>345.6</v>
      </c>
      <c r="I138" s="189">
        <f t="shared" si="61"/>
        <v>1319.5008</v>
      </c>
      <c r="J138" s="183"/>
      <c r="K138" s="224"/>
    </row>
    <row r="139" spans="1:11" ht="19.8">
      <c r="A139" s="279">
        <v>4</v>
      </c>
      <c r="B139" s="172" t="s">
        <v>240</v>
      </c>
      <c r="C139" s="201">
        <v>352</v>
      </c>
      <c r="D139" s="173" t="s">
        <v>199</v>
      </c>
      <c r="E139" s="170">
        <v>3</v>
      </c>
      <c r="F139" s="189">
        <f t="shared" si="59"/>
        <v>1056</v>
      </c>
      <c r="G139" s="182">
        <v>0</v>
      </c>
      <c r="H139" s="189">
        <f t="shared" si="60"/>
        <v>0</v>
      </c>
      <c r="I139" s="189">
        <f t="shared" si="61"/>
        <v>1056</v>
      </c>
      <c r="J139" s="183"/>
      <c r="K139" s="248"/>
    </row>
    <row r="140" spans="1:11" ht="19.8">
      <c r="A140" s="279">
        <v>5</v>
      </c>
      <c r="B140" s="172" t="s">
        <v>259</v>
      </c>
      <c r="C140" s="201">
        <f>9+37</f>
        <v>46</v>
      </c>
      <c r="D140" s="173" t="s">
        <v>14</v>
      </c>
      <c r="E140" s="170">
        <v>45</v>
      </c>
      <c r="F140" s="189">
        <f t="shared" ref="F140" si="62">E140*C140</f>
        <v>2070</v>
      </c>
      <c r="G140" s="182">
        <v>35</v>
      </c>
      <c r="H140" s="189">
        <f t="shared" ref="H140" si="63">G140*C140</f>
        <v>1610</v>
      </c>
      <c r="I140" s="189">
        <f t="shared" ref="I140" si="64">H140+F140</f>
        <v>3680</v>
      </c>
      <c r="J140" s="183"/>
      <c r="K140" s="233"/>
    </row>
    <row r="141" spans="1:11" ht="19.8">
      <c r="A141" s="279">
        <v>6</v>
      </c>
      <c r="B141" s="172" t="s">
        <v>260</v>
      </c>
      <c r="C141" s="201">
        <f>9+37</f>
        <v>46</v>
      </c>
      <c r="D141" s="173" t="s">
        <v>14</v>
      </c>
      <c r="E141" s="170">
        <v>50</v>
      </c>
      <c r="F141" s="189">
        <f t="shared" si="59"/>
        <v>2300</v>
      </c>
      <c r="G141" s="182">
        <v>38</v>
      </c>
      <c r="H141" s="189">
        <f t="shared" si="60"/>
        <v>1748</v>
      </c>
      <c r="I141" s="189">
        <f t="shared" si="61"/>
        <v>4048</v>
      </c>
      <c r="J141" s="183"/>
      <c r="K141" s="233"/>
    </row>
    <row r="142" spans="1:11" ht="20.399999999999999">
      <c r="A142" s="221"/>
      <c r="B142" s="159" t="s">
        <v>189</v>
      </c>
      <c r="C142" s="201"/>
      <c r="D142" s="75"/>
      <c r="E142" s="211"/>
      <c r="F142" s="206">
        <f>SUM(F136:F141)</f>
        <v>32230.540799999999</v>
      </c>
      <c r="G142" s="213"/>
      <c r="H142" s="206">
        <f>SUM(H136:H141)</f>
        <v>11803.6</v>
      </c>
      <c r="I142" s="206">
        <f>H142+F142</f>
        <v>44034.140800000001</v>
      </c>
      <c r="J142" s="183"/>
    </row>
    <row r="143" spans="1:11" ht="20.399999999999999">
      <c r="A143" s="255">
        <v>2.9</v>
      </c>
      <c r="B143" s="246" t="s">
        <v>183</v>
      </c>
      <c r="C143" s="201"/>
      <c r="D143" s="173"/>
      <c r="E143" s="211"/>
      <c r="F143" s="206"/>
      <c r="G143" s="213"/>
      <c r="H143" s="206"/>
      <c r="I143" s="206"/>
      <c r="J143" s="183"/>
    </row>
    <row r="144" spans="1:11" ht="19.8">
      <c r="A144" s="279">
        <v>1</v>
      </c>
      <c r="B144" s="172" t="s">
        <v>235</v>
      </c>
      <c r="C144" s="201">
        <v>32</v>
      </c>
      <c r="D144" s="173" t="s">
        <v>1</v>
      </c>
      <c r="E144" s="170">
        <v>31.33</v>
      </c>
      <c r="F144" s="189">
        <f>E144*C144</f>
        <v>1002.56</v>
      </c>
      <c r="G144" s="182">
        <v>10</v>
      </c>
      <c r="H144" s="189">
        <f>G144*C144</f>
        <v>320</v>
      </c>
      <c r="I144" s="189">
        <f>H144+F144</f>
        <v>1322.56</v>
      </c>
      <c r="J144" s="183"/>
      <c r="K144" s="224"/>
    </row>
    <row r="145" spans="1:11" ht="19.8">
      <c r="A145" s="279">
        <v>2</v>
      </c>
      <c r="B145" s="172" t="s">
        <v>245</v>
      </c>
      <c r="C145" s="201">
        <v>2</v>
      </c>
      <c r="D145" s="173" t="s">
        <v>37</v>
      </c>
      <c r="E145" s="170">
        <v>50</v>
      </c>
      <c r="F145" s="189">
        <f>E145*C145</f>
        <v>100</v>
      </c>
      <c r="G145" s="182">
        <v>10</v>
      </c>
      <c r="H145" s="189">
        <f>G145*C145</f>
        <v>20</v>
      </c>
      <c r="I145" s="189">
        <f>H145+F145</f>
        <v>120</v>
      </c>
      <c r="J145" s="183"/>
      <c r="K145" s="224"/>
    </row>
    <row r="146" spans="1:11" ht="19.8">
      <c r="A146" s="279">
        <v>3</v>
      </c>
      <c r="B146" s="172" t="s">
        <v>276</v>
      </c>
      <c r="C146" s="201">
        <v>8</v>
      </c>
      <c r="D146" s="173" t="s">
        <v>37</v>
      </c>
      <c r="E146" s="170">
        <v>50</v>
      </c>
      <c r="F146" s="189">
        <f>E146*C146</f>
        <v>400</v>
      </c>
      <c r="G146" s="182">
        <v>0</v>
      </c>
      <c r="H146" s="189">
        <f>G146*C146</f>
        <v>0</v>
      </c>
      <c r="I146" s="189">
        <f t="shared" ref="I146:I150" si="65">H146+F146</f>
        <v>400</v>
      </c>
      <c r="J146" s="183"/>
      <c r="K146" s="248"/>
    </row>
    <row r="147" spans="1:11" ht="19.8">
      <c r="A147" s="279">
        <v>4</v>
      </c>
      <c r="B147" s="172" t="s">
        <v>243</v>
      </c>
      <c r="C147" s="201">
        <v>16</v>
      </c>
      <c r="D147" s="173" t="s">
        <v>1</v>
      </c>
      <c r="E147" s="170">
        <v>24.17</v>
      </c>
      <c r="F147" s="189">
        <f t="shared" ref="F147" si="66">E147*C147</f>
        <v>386.72</v>
      </c>
      <c r="G147" s="182">
        <v>10</v>
      </c>
      <c r="H147" s="189">
        <f t="shared" ref="H147" si="67">G147*C147</f>
        <v>160</v>
      </c>
      <c r="I147" s="189">
        <f t="shared" si="65"/>
        <v>546.72</v>
      </c>
      <c r="J147" s="183"/>
      <c r="K147" s="248"/>
    </row>
    <row r="148" spans="1:11" ht="19.8">
      <c r="A148" s="279">
        <v>5</v>
      </c>
      <c r="B148" s="172" t="s">
        <v>275</v>
      </c>
      <c r="C148" s="201">
        <v>2</v>
      </c>
      <c r="D148" s="173" t="s">
        <v>38</v>
      </c>
      <c r="E148" s="170">
        <v>1650</v>
      </c>
      <c r="F148" s="189">
        <f t="shared" ref="F148:F149" si="68">E148*C148</f>
        <v>3300</v>
      </c>
      <c r="G148" s="182">
        <f>E148*0.3</f>
        <v>495</v>
      </c>
      <c r="H148" s="189">
        <f t="shared" ref="H148:H149" si="69">G148*C148</f>
        <v>990</v>
      </c>
      <c r="I148" s="189">
        <f t="shared" si="65"/>
        <v>4290</v>
      </c>
      <c r="J148" s="183"/>
      <c r="K148" s="248"/>
    </row>
    <row r="149" spans="1:11" ht="19.8">
      <c r="A149" s="279">
        <v>6</v>
      </c>
      <c r="B149" s="172" t="s">
        <v>259</v>
      </c>
      <c r="C149" s="201">
        <v>3</v>
      </c>
      <c r="D149" s="173" t="s">
        <v>14</v>
      </c>
      <c r="E149" s="170">
        <v>45</v>
      </c>
      <c r="F149" s="189">
        <f t="shared" si="68"/>
        <v>135</v>
      </c>
      <c r="G149" s="182">
        <v>35</v>
      </c>
      <c r="H149" s="189">
        <f t="shared" si="69"/>
        <v>105</v>
      </c>
      <c r="I149" s="189">
        <f t="shared" ref="I149" si="70">H149+F149</f>
        <v>240</v>
      </c>
      <c r="J149" s="183"/>
      <c r="K149" s="224"/>
    </row>
    <row r="150" spans="1:11" ht="19.8">
      <c r="A150" s="279">
        <v>7</v>
      </c>
      <c r="B150" s="172" t="s">
        <v>260</v>
      </c>
      <c r="C150" s="201">
        <v>3</v>
      </c>
      <c r="D150" s="173" t="s">
        <v>14</v>
      </c>
      <c r="E150" s="170">
        <v>50</v>
      </c>
      <c r="F150" s="189">
        <f t="shared" ref="F150" si="71">E150*C150</f>
        <v>150</v>
      </c>
      <c r="G150" s="182">
        <v>38</v>
      </c>
      <c r="H150" s="189">
        <f t="shared" ref="H150" si="72">G150*C150</f>
        <v>114</v>
      </c>
      <c r="I150" s="189">
        <f t="shared" si="65"/>
        <v>264</v>
      </c>
      <c r="J150" s="183"/>
      <c r="K150" s="224"/>
    </row>
    <row r="151" spans="1:11" ht="20.399999999999999">
      <c r="A151" s="221"/>
      <c r="B151" s="159" t="s">
        <v>184</v>
      </c>
      <c r="C151" s="201"/>
      <c r="D151" s="75"/>
      <c r="E151" s="211"/>
      <c r="F151" s="206">
        <f>SUM(F144:F150)</f>
        <v>5474.28</v>
      </c>
      <c r="G151" s="213"/>
      <c r="H151" s="206">
        <f>SUM(H144:H150)</f>
        <v>1709</v>
      </c>
      <c r="I151" s="206">
        <f>H151+F151</f>
        <v>7183.28</v>
      </c>
      <c r="J151" s="183"/>
    </row>
    <row r="152" spans="1:11" ht="20.399999999999999">
      <c r="A152" s="281">
        <v>2.1</v>
      </c>
      <c r="B152" s="246" t="s">
        <v>185</v>
      </c>
      <c r="C152" s="201"/>
      <c r="D152" s="173"/>
      <c r="E152" s="211"/>
      <c r="F152" s="189"/>
      <c r="G152" s="213"/>
      <c r="H152" s="189"/>
      <c r="I152" s="189"/>
      <c r="J152" s="183"/>
    </row>
    <row r="153" spans="1:11" ht="19.8">
      <c r="A153" s="279">
        <v>1</v>
      </c>
      <c r="B153" s="172" t="s">
        <v>235</v>
      </c>
      <c r="C153" s="201">
        <f>115+85</f>
        <v>200</v>
      </c>
      <c r="D153" s="173" t="s">
        <v>1</v>
      </c>
      <c r="E153" s="170">
        <v>31.33</v>
      </c>
      <c r="F153" s="189">
        <f>E153*C153</f>
        <v>6266</v>
      </c>
      <c r="G153" s="182">
        <v>10</v>
      </c>
      <c r="H153" s="189">
        <f>G153*C153</f>
        <v>2000</v>
      </c>
      <c r="I153" s="189">
        <f>H153+F153</f>
        <v>8266</v>
      </c>
      <c r="J153" s="183"/>
      <c r="K153" s="224"/>
    </row>
    <row r="154" spans="1:11" ht="19.8">
      <c r="A154" s="279">
        <v>2</v>
      </c>
      <c r="B154" s="172" t="s">
        <v>244</v>
      </c>
      <c r="C154" s="201">
        <v>150</v>
      </c>
      <c r="D154" s="173" t="s">
        <v>1</v>
      </c>
      <c r="E154" s="170">
        <v>31</v>
      </c>
      <c r="F154" s="189">
        <f>E154*C154</f>
        <v>4650</v>
      </c>
      <c r="G154" s="182">
        <v>10</v>
      </c>
      <c r="H154" s="189">
        <f>G154*C154</f>
        <v>1500</v>
      </c>
      <c r="I154" s="189">
        <f t="shared" ref="I154:I157" si="73">H154+F154</f>
        <v>6150</v>
      </c>
      <c r="J154" s="183"/>
      <c r="K154" s="224"/>
    </row>
    <row r="155" spans="1:11" ht="19.8">
      <c r="A155" s="279">
        <v>3</v>
      </c>
      <c r="B155" s="172" t="s">
        <v>243</v>
      </c>
      <c r="C155" s="201">
        <v>87</v>
      </c>
      <c r="D155" s="173" t="s">
        <v>1</v>
      </c>
      <c r="E155" s="170">
        <v>24.17</v>
      </c>
      <c r="F155" s="189">
        <f>E155*C155</f>
        <v>2102.79</v>
      </c>
      <c r="G155" s="182">
        <v>10</v>
      </c>
      <c r="H155" s="189">
        <f>G155*C155</f>
        <v>870</v>
      </c>
      <c r="I155" s="189">
        <f t="shared" si="73"/>
        <v>2972.79</v>
      </c>
      <c r="J155" s="183"/>
      <c r="K155" s="224"/>
    </row>
    <row r="156" spans="1:11" ht="19.8">
      <c r="A156" s="279">
        <v>4</v>
      </c>
      <c r="B156" s="172" t="s">
        <v>259</v>
      </c>
      <c r="C156" s="201">
        <f>19+4</f>
        <v>23</v>
      </c>
      <c r="D156" s="173" t="s">
        <v>14</v>
      </c>
      <c r="E156" s="170">
        <v>45</v>
      </c>
      <c r="F156" s="189">
        <f>E156*C156</f>
        <v>1035</v>
      </c>
      <c r="G156" s="182">
        <v>35</v>
      </c>
      <c r="H156" s="189">
        <f>G156*C156</f>
        <v>805</v>
      </c>
      <c r="I156" s="189">
        <f t="shared" ref="I156" si="74">H156+F156</f>
        <v>1840</v>
      </c>
      <c r="J156" s="183"/>
      <c r="K156" s="224"/>
    </row>
    <row r="157" spans="1:11" ht="19.8">
      <c r="A157" s="279">
        <v>5</v>
      </c>
      <c r="B157" s="172" t="s">
        <v>260</v>
      </c>
      <c r="C157" s="201">
        <f>19+4</f>
        <v>23</v>
      </c>
      <c r="D157" s="173" t="s">
        <v>14</v>
      </c>
      <c r="E157" s="170">
        <v>50</v>
      </c>
      <c r="F157" s="189">
        <f>E157*C157</f>
        <v>1150</v>
      </c>
      <c r="G157" s="182">
        <v>38</v>
      </c>
      <c r="H157" s="189">
        <f>G157*C157</f>
        <v>874</v>
      </c>
      <c r="I157" s="189">
        <f t="shared" si="73"/>
        <v>2024</v>
      </c>
      <c r="J157" s="183"/>
      <c r="K157" s="224"/>
    </row>
    <row r="158" spans="1:11" ht="20.399999999999999">
      <c r="A158" s="221"/>
      <c r="B158" s="159" t="s">
        <v>186</v>
      </c>
      <c r="C158" s="201"/>
      <c r="D158" s="75"/>
      <c r="E158" s="211"/>
      <c r="F158" s="206">
        <f>SUM(F153:F157)</f>
        <v>15203.79</v>
      </c>
      <c r="G158" s="213"/>
      <c r="H158" s="206">
        <f>SUM(H153:H157)</f>
        <v>6049</v>
      </c>
      <c r="I158" s="206">
        <f>H158+F158</f>
        <v>21252.79</v>
      </c>
      <c r="J158" s="183"/>
    </row>
    <row r="159" spans="1:11" ht="20.399999999999999">
      <c r="A159" s="281">
        <v>2.11</v>
      </c>
      <c r="B159" s="246" t="s">
        <v>197</v>
      </c>
      <c r="C159" s="201"/>
      <c r="D159" s="173"/>
      <c r="E159" s="170"/>
      <c r="F159" s="189"/>
      <c r="G159" s="182"/>
      <c r="H159" s="189"/>
      <c r="I159" s="189"/>
      <c r="J159" s="183"/>
    </row>
    <row r="160" spans="1:11" ht="19.8">
      <c r="A160" s="279">
        <v>1</v>
      </c>
      <c r="B160" s="172" t="s">
        <v>246</v>
      </c>
      <c r="C160" s="201">
        <v>5</v>
      </c>
      <c r="D160" s="173" t="s">
        <v>1</v>
      </c>
      <c r="E160" s="170">
        <v>31</v>
      </c>
      <c r="F160" s="189">
        <f t="shared" ref="F160:F165" si="75">E160*C160</f>
        <v>155</v>
      </c>
      <c r="G160" s="182">
        <v>10</v>
      </c>
      <c r="H160" s="189">
        <f t="shared" ref="H160:H165" si="76">G160*C160</f>
        <v>50</v>
      </c>
      <c r="I160" s="189">
        <f t="shared" ref="I160:I166" si="77">H160+F160</f>
        <v>205</v>
      </c>
      <c r="J160" s="183"/>
      <c r="K160" s="224"/>
    </row>
    <row r="161" spans="1:11" ht="19.8">
      <c r="A161" s="279">
        <v>2</v>
      </c>
      <c r="B161" s="172" t="s">
        <v>237</v>
      </c>
      <c r="C161" s="201">
        <v>71</v>
      </c>
      <c r="D161" s="173" t="s">
        <v>1</v>
      </c>
      <c r="E161" s="170">
        <v>27.06</v>
      </c>
      <c r="F161" s="189">
        <f t="shared" si="75"/>
        <v>1921.26</v>
      </c>
      <c r="G161" s="182">
        <v>10</v>
      </c>
      <c r="H161" s="189">
        <f t="shared" si="76"/>
        <v>710</v>
      </c>
      <c r="I161" s="189">
        <f t="shared" si="77"/>
        <v>2631.26</v>
      </c>
      <c r="J161" s="183"/>
      <c r="K161" s="224"/>
    </row>
    <row r="162" spans="1:11" ht="19.8">
      <c r="A162" s="279">
        <v>3</v>
      </c>
      <c r="B162" s="172" t="s">
        <v>277</v>
      </c>
      <c r="C162" s="201">
        <v>8</v>
      </c>
      <c r="D162" s="173" t="s">
        <v>37</v>
      </c>
      <c r="E162" s="170">
        <v>50</v>
      </c>
      <c r="F162" s="189">
        <f t="shared" si="75"/>
        <v>400</v>
      </c>
      <c r="G162" s="182">
        <v>0</v>
      </c>
      <c r="H162" s="189">
        <f t="shared" si="76"/>
        <v>0</v>
      </c>
      <c r="I162" s="189">
        <f t="shared" si="77"/>
        <v>400</v>
      </c>
      <c r="J162" s="183"/>
      <c r="K162" s="248"/>
    </row>
    <row r="163" spans="1:11" ht="19.8">
      <c r="A163" s="279">
        <v>4</v>
      </c>
      <c r="B163" s="172" t="s">
        <v>236</v>
      </c>
      <c r="C163" s="201">
        <v>2.44</v>
      </c>
      <c r="D163" s="173" t="s">
        <v>1</v>
      </c>
      <c r="E163" s="170">
        <v>31</v>
      </c>
      <c r="F163" s="189">
        <f t="shared" si="75"/>
        <v>75.64</v>
      </c>
      <c r="G163" s="182">
        <v>10</v>
      </c>
      <c r="H163" s="189">
        <f t="shared" si="76"/>
        <v>24.4</v>
      </c>
      <c r="I163" s="189">
        <f t="shared" si="77"/>
        <v>100.03999999999999</v>
      </c>
      <c r="J163" s="183"/>
      <c r="K163" s="224"/>
    </row>
    <row r="164" spans="1:11" ht="19.8">
      <c r="A164" s="279">
        <v>5</v>
      </c>
      <c r="B164" s="172" t="s">
        <v>259</v>
      </c>
      <c r="C164" s="201">
        <v>2</v>
      </c>
      <c r="D164" s="173" t="s">
        <v>14</v>
      </c>
      <c r="E164" s="170">
        <v>45</v>
      </c>
      <c r="F164" s="189">
        <f t="shared" si="75"/>
        <v>90</v>
      </c>
      <c r="G164" s="182">
        <v>35</v>
      </c>
      <c r="H164" s="189">
        <f t="shared" si="76"/>
        <v>70</v>
      </c>
      <c r="I164" s="189">
        <f t="shared" ref="I164" si="78">H164+F164</f>
        <v>160</v>
      </c>
      <c r="J164" s="183"/>
      <c r="K164" s="224"/>
    </row>
    <row r="165" spans="1:11" ht="19.8">
      <c r="A165" s="279">
        <v>6</v>
      </c>
      <c r="B165" s="172" t="s">
        <v>260</v>
      </c>
      <c r="C165" s="201">
        <v>2</v>
      </c>
      <c r="D165" s="173" t="s">
        <v>14</v>
      </c>
      <c r="E165" s="170">
        <v>50</v>
      </c>
      <c r="F165" s="189">
        <f t="shared" si="75"/>
        <v>100</v>
      </c>
      <c r="G165" s="182">
        <v>38</v>
      </c>
      <c r="H165" s="189">
        <f t="shared" si="76"/>
        <v>76</v>
      </c>
      <c r="I165" s="189">
        <f t="shared" si="77"/>
        <v>176</v>
      </c>
      <c r="J165" s="183"/>
      <c r="K165" s="224"/>
    </row>
    <row r="166" spans="1:11" ht="20.399999999999999">
      <c r="A166" s="221"/>
      <c r="B166" s="159" t="s">
        <v>193</v>
      </c>
      <c r="C166" s="201"/>
      <c r="D166" s="75"/>
      <c r="E166" s="211"/>
      <c r="F166" s="206">
        <f>SUM(F160:F165)</f>
        <v>2741.9</v>
      </c>
      <c r="G166" s="213"/>
      <c r="H166" s="206">
        <f>SUM(H160:H165)</f>
        <v>930.4</v>
      </c>
      <c r="I166" s="206">
        <f t="shared" si="77"/>
        <v>3672.3</v>
      </c>
      <c r="J166" s="183"/>
    </row>
    <row r="167" spans="1:11" ht="20.399999999999999">
      <c r="A167" s="281">
        <v>2.12</v>
      </c>
      <c r="B167" s="246" t="s">
        <v>198</v>
      </c>
      <c r="C167" s="201"/>
      <c r="D167" s="173"/>
      <c r="E167" s="211"/>
      <c r="F167" s="189"/>
      <c r="G167" s="213"/>
      <c r="H167" s="189"/>
      <c r="I167" s="189"/>
      <c r="J167" s="183"/>
    </row>
    <row r="168" spans="1:11" ht="19.8">
      <c r="A168" s="279">
        <v>1</v>
      </c>
      <c r="B168" s="172" t="s">
        <v>247</v>
      </c>
      <c r="C168" s="201">
        <v>5.7</v>
      </c>
      <c r="D168" s="173" t="s">
        <v>1</v>
      </c>
      <c r="E168" s="170">
        <v>31</v>
      </c>
      <c r="F168" s="189">
        <f t="shared" ref="F168:F174" si="79">E168*C168</f>
        <v>176.70000000000002</v>
      </c>
      <c r="G168" s="182">
        <v>10</v>
      </c>
      <c r="H168" s="189">
        <f t="shared" ref="H168:H174" si="80">G168*C168</f>
        <v>57</v>
      </c>
      <c r="I168" s="189">
        <f t="shared" ref="I168:I175" si="81">H168+F168</f>
        <v>233.70000000000002</v>
      </c>
      <c r="J168" s="183"/>
      <c r="K168" s="224"/>
    </row>
    <row r="169" spans="1:11" ht="19.8">
      <c r="A169" s="279">
        <v>2</v>
      </c>
      <c r="B169" s="172" t="s">
        <v>269</v>
      </c>
      <c r="C169" s="201">
        <v>201</v>
      </c>
      <c r="D169" s="173" t="s">
        <v>1</v>
      </c>
      <c r="E169" s="170">
        <v>27.4</v>
      </c>
      <c r="F169" s="189">
        <f t="shared" si="79"/>
        <v>5507.4</v>
      </c>
      <c r="G169" s="182">
        <v>10</v>
      </c>
      <c r="H169" s="189">
        <f t="shared" si="80"/>
        <v>2010</v>
      </c>
      <c r="I169" s="189">
        <f t="shared" si="81"/>
        <v>7517.4</v>
      </c>
      <c r="J169" s="183"/>
      <c r="K169" s="224"/>
    </row>
    <row r="170" spans="1:11" ht="19.8">
      <c r="A170" s="279">
        <v>3</v>
      </c>
      <c r="B170" s="172" t="s">
        <v>277</v>
      </c>
      <c r="C170" s="201">
        <v>12</v>
      </c>
      <c r="D170" s="173" t="s">
        <v>37</v>
      </c>
      <c r="E170" s="170">
        <v>50</v>
      </c>
      <c r="F170" s="189">
        <f t="shared" si="79"/>
        <v>600</v>
      </c>
      <c r="G170" s="182">
        <v>0</v>
      </c>
      <c r="H170" s="189">
        <f t="shared" si="80"/>
        <v>0</v>
      </c>
      <c r="I170" s="189">
        <f t="shared" si="81"/>
        <v>600</v>
      </c>
      <c r="J170" s="183"/>
      <c r="K170" s="275"/>
    </row>
    <row r="171" spans="1:11" ht="19.8">
      <c r="A171" s="279">
        <v>4</v>
      </c>
      <c r="B171" s="172" t="s">
        <v>238</v>
      </c>
      <c r="C171" s="201">
        <v>13</v>
      </c>
      <c r="D171" s="173" t="s">
        <v>38</v>
      </c>
      <c r="E171" s="170">
        <v>600</v>
      </c>
      <c r="F171" s="189">
        <f t="shared" si="79"/>
        <v>7800</v>
      </c>
      <c r="G171" s="182">
        <f>E171*0.25</f>
        <v>150</v>
      </c>
      <c r="H171" s="189">
        <f t="shared" si="80"/>
        <v>1950</v>
      </c>
      <c r="I171" s="189">
        <f t="shared" si="81"/>
        <v>9750</v>
      </c>
      <c r="J171" s="183"/>
      <c r="K171" s="282"/>
    </row>
    <row r="172" spans="1:11" ht="19.8">
      <c r="A172" s="279">
        <v>5</v>
      </c>
      <c r="B172" s="172" t="s">
        <v>241</v>
      </c>
      <c r="C172" s="201">
        <v>9</v>
      </c>
      <c r="D172" s="173" t="s">
        <v>199</v>
      </c>
      <c r="E172" s="170">
        <v>30</v>
      </c>
      <c r="F172" s="189">
        <f t="shared" si="79"/>
        <v>270</v>
      </c>
      <c r="G172" s="182">
        <v>0</v>
      </c>
      <c r="H172" s="189">
        <f t="shared" si="80"/>
        <v>0</v>
      </c>
      <c r="I172" s="189">
        <f t="shared" si="81"/>
        <v>270</v>
      </c>
      <c r="J172" s="183"/>
      <c r="K172" s="251"/>
    </row>
    <row r="173" spans="1:11" ht="19.8">
      <c r="A173" s="279">
        <v>6</v>
      </c>
      <c r="B173" s="172" t="s">
        <v>259</v>
      </c>
      <c r="C173" s="201">
        <v>9</v>
      </c>
      <c r="D173" s="173" t="s">
        <v>14</v>
      </c>
      <c r="E173" s="170">
        <v>45</v>
      </c>
      <c r="F173" s="189">
        <f t="shared" ref="F173" si="82">E173*C173</f>
        <v>405</v>
      </c>
      <c r="G173" s="182">
        <v>35</v>
      </c>
      <c r="H173" s="189">
        <f t="shared" ref="H173" si="83">G173*C173</f>
        <v>315</v>
      </c>
      <c r="I173" s="189">
        <f t="shared" ref="I173" si="84">H173+F173</f>
        <v>720</v>
      </c>
      <c r="J173" s="183"/>
      <c r="K173" s="224"/>
    </row>
    <row r="174" spans="1:11" ht="19.8">
      <c r="A174" s="279">
        <v>7</v>
      </c>
      <c r="B174" s="172" t="s">
        <v>260</v>
      </c>
      <c r="C174" s="201">
        <v>9</v>
      </c>
      <c r="D174" s="173" t="s">
        <v>14</v>
      </c>
      <c r="E174" s="170">
        <v>50</v>
      </c>
      <c r="F174" s="189">
        <f t="shared" si="79"/>
        <v>450</v>
      </c>
      <c r="G174" s="182">
        <v>38</v>
      </c>
      <c r="H174" s="189">
        <f t="shared" si="80"/>
        <v>342</v>
      </c>
      <c r="I174" s="189">
        <f t="shared" si="81"/>
        <v>792</v>
      </c>
      <c r="J174" s="183"/>
      <c r="K174" s="224"/>
    </row>
    <row r="175" spans="1:11" ht="20.399999999999999">
      <c r="A175" s="221"/>
      <c r="B175" s="159" t="s">
        <v>194</v>
      </c>
      <c r="C175" s="201"/>
      <c r="D175" s="75"/>
      <c r="E175" s="211"/>
      <c r="F175" s="206">
        <f>SUM(F168:F174)</f>
        <v>15209.099999999999</v>
      </c>
      <c r="G175" s="213"/>
      <c r="H175" s="206">
        <f>SUM(H168:H174)</f>
        <v>4674</v>
      </c>
      <c r="I175" s="206">
        <f t="shared" si="81"/>
        <v>19883.099999999999</v>
      </c>
      <c r="J175" s="183"/>
    </row>
    <row r="176" spans="1:11" ht="20.399999999999999">
      <c r="A176" s="281">
        <v>2.13</v>
      </c>
      <c r="B176" s="246" t="s">
        <v>200</v>
      </c>
      <c r="C176" s="201"/>
      <c r="D176" s="173"/>
      <c r="E176" s="211"/>
      <c r="F176" s="189"/>
      <c r="G176" s="213"/>
      <c r="H176" s="189"/>
      <c r="I176" s="189"/>
      <c r="J176" s="183"/>
    </row>
    <row r="177" spans="1:11" ht="19.8">
      <c r="A177" s="279">
        <v>1</v>
      </c>
      <c r="B177" s="172" t="s">
        <v>248</v>
      </c>
      <c r="C177" s="201">
        <v>11.3</v>
      </c>
      <c r="D177" s="173" t="s">
        <v>1</v>
      </c>
      <c r="E177" s="170">
        <v>31</v>
      </c>
      <c r="F177" s="189">
        <f t="shared" ref="F177:F183" si="85">E177*C177</f>
        <v>350.3</v>
      </c>
      <c r="G177" s="182">
        <v>10</v>
      </c>
      <c r="H177" s="189">
        <f t="shared" ref="H177:H183" si="86">G177*C177</f>
        <v>113</v>
      </c>
      <c r="I177" s="189">
        <f t="shared" ref="I177:I184" si="87">H177+F177</f>
        <v>463.3</v>
      </c>
      <c r="J177" s="183"/>
      <c r="K177" s="224"/>
    </row>
    <row r="178" spans="1:11" ht="19.8">
      <c r="A178" s="279">
        <v>2</v>
      </c>
      <c r="B178" s="172" t="s">
        <v>277</v>
      </c>
      <c r="C178" s="201">
        <v>24</v>
      </c>
      <c r="D178" s="173" t="s">
        <v>37</v>
      </c>
      <c r="E178" s="170">
        <v>50</v>
      </c>
      <c r="F178" s="189">
        <f t="shared" si="85"/>
        <v>1200</v>
      </c>
      <c r="G178" s="182">
        <v>0</v>
      </c>
      <c r="H178" s="189">
        <f t="shared" si="86"/>
        <v>0</v>
      </c>
      <c r="I178" s="189">
        <f t="shared" si="87"/>
        <v>1200</v>
      </c>
      <c r="J178" s="183"/>
      <c r="K178" s="275"/>
    </row>
    <row r="179" spans="1:11" ht="19.8">
      <c r="A179" s="279">
        <v>3</v>
      </c>
      <c r="B179" s="172" t="s">
        <v>269</v>
      </c>
      <c r="C179" s="201">
        <v>725</v>
      </c>
      <c r="D179" s="173" t="s">
        <v>1</v>
      </c>
      <c r="E179" s="170">
        <v>27.4</v>
      </c>
      <c r="F179" s="189">
        <f t="shared" si="85"/>
        <v>19865</v>
      </c>
      <c r="G179" s="182">
        <v>10</v>
      </c>
      <c r="H179" s="189">
        <f t="shared" si="86"/>
        <v>7250</v>
      </c>
      <c r="I179" s="189">
        <f t="shared" si="87"/>
        <v>27115</v>
      </c>
      <c r="J179" s="183"/>
      <c r="K179" s="224"/>
    </row>
    <row r="180" spans="1:11" ht="19.8">
      <c r="A180" s="279">
        <v>4</v>
      </c>
      <c r="B180" s="172" t="s">
        <v>239</v>
      </c>
      <c r="C180" s="201">
        <v>7</v>
      </c>
      <c r="D180" s="173" t="s">
        <v>38</v>
      </c>
      <c r="E180" s="170">
        <v>600</v>
      </c>
      <c r="F180" s="189">
        <f t="shared" si="85"/>
        <v>4200</v>
      </c>
      <c r="G180" s="182">
        <f>E180*0.2</f>
        <v>120</v>
      </c>
      <c r="H180" s="189">
        <f t="shared" si="86"/>
        <v>840</v>
      </c>
      <c r="I180" s="189">
        <f t="shared" si="87"/>
        <v>5040</v>
      </c>
      <c r="J180" s="183"/>
      <c r="K180" s="251"/>
    </row>
    <row r="181" spans="1:11" ht="19.8">
      <c r="A181" s="279">
        <v>5</v>
      </c>
      <c r="B181" s="172" t="s">
        <v>242</v>
      </c>
      <c r="C181" s="201">
        <v>42</v>
      </c>
      <c r="D181" s="173" t="s">
        <v>199</v>
      </c>
      <c r="E181" s="170">
        <v>30</v>
      </c>
      <c r="F181" s="189">
        <f t="shared" si="85"/>
        <v>1260</v>
      </c>
      <c r="G181" s="182">
        <v>0</v>
      </c>
      <c r="H181" s="189">
        <f t="shared" si="86"/>
        <v>0</v>
      </c>
      <c r="I181" s="189">
        <f t="shared" si="87"/>
        <v>1260</v>
      </c>
      <c r="J181" s="183"/>
      <c r="K181" s="248"/>
    </row>
    <row r="182" spans="1:11" ht="19.8">
      <c r="A182" s="279">
        <v>6</v>
      </c>
      <c r="B182" s="172" t="s">
        <v>259</v>
      </c>
      <c r="C182" s="201">
        <v>30</v>
      </c>
      <c r="D182" s="173" t="s">
        <v>14</v>
      </c>
      <c r="E182" s="170">
        <v>45</v>
      </c>
      <c r="F182" s="189">
        <f t="shared" ref="F182" si="88">E182*C182</f>
        <v>1350</v>
      </c>
      <c r="G182" s="182">
        <v>35</v>
      </c>
      <c r="H182" s="189">
        <f t="shared" ref="H182" si="89">G182*C182</f>
        <v>1050</v>
      </c>
      <c r="I182" s="189">
        <f t="shared" ref="I182" si="90">H182+F182</f>
        <v>2400</v>
      </c>
      <c r="J182" s="183"/>
      <c r="K182" s="224"/>
    </row>
    <row r="183" spans="1:11" ht="19.8">
      <c r="A183" s="279">
        <v>7</v>
      </c>
      <c r="B183" s="172" t="s">
        <v>260</v>
      </c>
      <c r="C183" s="201">
        <v>30</v>
      </c>
      <c r="D183" s="173" t="s">
        <v>14</v>
      </c>
      <c r="E183" s="170">
        <v>50</v>
      </c>
      <c r="F183" s="189">
        <f t="shared" si="85"/>
        <v>1500</v>
      </c>
      <c r="G183" s="182">
        <v>38</v>
      </c>
      <c r="H183" s="189">
        <f t="shared" si="86"/>
        <v>1140</v>
      </c>
      <c r="I183" s="189">
        <f t="shared" si="87"/>
        <v>2640</v>
      </c>
      <c r="J183" s="183"/>
      <c r="K183" s="224"/>
    </row>
    <row r="184" spans="1:11" ht="20.399999999999999">
      <c r="A184" s="221"/>
      <c r="B184" s="159" t="s">
        <v>195</v>
      </c>
      <c r="C184" s="201"/>
      <c r="D184" s="75"/>
      <c r="E184" s="211"/>
      <c r="F184" s="206">
        <f>SUM(F177:F183)</f>
        <v>29725.3</v>
      </c>
      <c r="G184" s="213"/>
      <c r="H184" s="206">
        <f>SUM(H177:H183)</f>
        <v>10393</v>
      </c>
      <c r="I184" s="206">
        <f t="shared" si="87"/>
        <v>40118.300000000003</v>
      </c>
      <c r="J184" s="183"/>
    </row>
    <row r="185" spans="1:11" ht="20.399999999999999">
      <c r="A185" s="281">
        <v>2.14</v>
      </c>
      <c r="B185" s="246" t="s">
        <v>176</v>
      </c>
      <c r="C185" s="201"/>
      <c r="D185" s="173"/>
      <c r="E185" s="211"/>
      <c r="F185" s="206"/>
      <c r="G185" s="213"/>
      <c r="H185" s="206"/>
      <c r="I185" s="206"/>
      <c r="J185" s="183"/>
    </row>
    <row r="186" spans="1:11" ht="19.8">
      <c r="A186" s="279">
        <v>1</v>
      </c>
      <c r="B186" s="172" t="s">
        <v>270</v>
      </c>
      <c r="C186" s="201">
        <v>679</v>
      </c>
      <c r="D186" s="173" t="s">
        <v>1</v>
      </c>
      <c r="E186" s="170">
        <v>27.42</v>
      </c>
      <c r="F186" s="189">
        <f>E186*C186</f>
        <v>18618.18</v>
      </c>
      <c r="G186" s="182">
        <v>10</v>
      </c>
      <c r="H186" s="189">
        <f>G186*C186</f>
        <v>6790</v>
      </c>
      <c r="I186" s="189">
        <f>H186+F186</f>
        <v>25408.18</v>
      </c>
      <c r="J186" s="183"/>
      <c r="K186" s="224"/>
    </row>
    <row r="187" spans="1:11" ht="19.8">
      <c r="A187" s="279">
        <v>2</v>
      </c>
      <c r="B187" s="172" t="s">
        <v>249</v>
      </c>
      <c r="C187" s="201">
        <v>819</v>
      </c>
      <c r="D187" s="173" t="s">
        <v>1</v>
      </c>
      <c r="E187" s="170">
        <v>26.64</v>
      </c>
      <c r="F187" s="189">
        <f t="shared" ref="F187:F190" si="91">E187*C187</f>
        <v>21818.16</v>
      </c>
      <c r="G187" s="182">
        <v>10</v>
      </c>
      <c r="H187" s="189">
        <f t="shared" ref="H187:H190" si="92">G187*C187</f>
        <v>8190</v>
      </c>
      <c r="I187" s="189">
        <f t="shared" ref="I187:I195" si="93">H187+F187</f>
        <v>30008.16</v>
      </c>
      <c r="J187" s="183"/>
      <c r="K187" s="224"/>
    </row>
    <row r="188" spans="1:11" ht="19.8">
      <c r="A188" s="279">
        <v>3</v>
      </c>
      <c r="B188" s="172" t="s">
        <v>243</v>
      </c>
      <c r="C188" s="201">
        <v>250</v>
      </c>
      <c r="D188" s="173" t="s">
        <v>1</v>
      </c>
      <c r="E188" s="211">
        <v>0</v>
      </c>
      <c r="F188" s="189">
        <f t="shared" si="91"/>
        <v>0</v>
      </c>
      <c r="G188" s="213">
        <v>0</v>
      </c>
      <c r="H188" s="189">
        <f t="shared" si="92"/>
        <v>0</v>
      </c>
      <c r="I188" s="189">
        <f t="shared" si="93"/>
        <v>0</v>
      </c>
      <c r="J188" s="183"/>
      <c r="K188" s="224"/>
    </row>
    <row r="189" spans="1:11" ht="19.8">
      <c r="A189" s="279">
        <v>4</v>
      </c>
      <c r="B189" s="172" t="s">
        <v>196</v>
      </c>
      <c r="C189" s="201">
        <v>46</v>
      </c>
      <c r="D189" s="173" t="s">
        <v>158</v>
      </c>
      <c r="E189" s="170">
        <v>170</v>
      </c>
      <c r="F189" s="189">
        <f t="shared" si="91"/>
        <v>7820</v>
      </c>
      <c r="G189" s="182">
        <v>50</v>
      </c>
      <c r="H189" s="189">
        <f t="shared" si="92"/>
        <v>2300</v>
      </c>
      <c r="I189" s="189">
        <f t="shared" si="93"/>
        <v>10120</v>
      </c>
      <c r="J189" s="183"/>
      <c r="K189" s="224"/>
    </row>
    <row r="190" spans="1:11" ht="19.8">
      <c r="A190" s="279">
        <v>5</v>
      </c>
      <c r="B190" s="172" t="s">
        <v>274</v>
      </c>
      <c r="C190" s="201">
        <v>227</v>
      </c>
      <c r="D190" s="173" t="s">
        <v>14</v>
      </c>
      <c r="E190" s="170">
        <v>300</v>
      </c>
      <c r="F190" s="189">
        <f t="shared" si="91"/>
        <v>68100</v>
      </c>
      <c r="G190" s="182">
        <v>70</v>
      </c>
      <c r="H190" s="189">
        <f t="shared" si="92"/>
        <v>15890</v>
      </c>
      <c r="I190" s="189">
        <f t="shared" si="93"/>
        <v>83990</v>
      </c>
      <c r="J190" s="183"/>
      <c r="K190" s="224"/>
    </row>
    <row r="191" spans="1:11" ht="19.8">
      <c r="A191" s="279">
        <v>6</v>
      </c>
      <c r="B191" s="172" t="s">
        <v>250</v>
      </c>
      <c r="C191" s="201">
        <v>61</v>
      </c>
      <c r="D191" s="173" t="s">
        <v>1</v>
      </c>
      <c r="E191" s="170">
        <v>19.850000000000001</v>
      </c>
      <c r="F191" s="189">
        <f t="shared" ref="F191" si="94">E191*C191</f>
        <v>1210.8500000000001</v>
      </c>
      <c r="G191" s="182">
        <v>3.3</v>
      </c>
      <c r="H191" s="189">
        <f t="shared" ref="H191" si="95">G191*C191</f>
        <v>201.29999999999998</v>
      </c>
      <c r="I191" s="189">
        <f t="shared" si="93"/>
        <v>1412.15</v>
      </c>
      <c r="J191" s="183"/>
      <c r="K191" s="224"/>
    </row>
    <row r="192" spans="1:11" ht="19.8">
      <c r="A192" s="279">
        <v>7</v>
      </c>
      <c r="B192" s="172" t="s">
        <v>271</v>
      </c>
      <c r="C192" s="201">
        <v>40</v>
      </c>
      <c r="D192" s="173" t="s">
        <v>1</v>
      </c>
      <c r="E192" s="170">
        <v>27.4</v>
      </c>
      <c r="F192" s="189">
        <f t="shared" ref="F192:F194" si="96">E192*C192</f>
        <v>1096</v>
      </c>
      <c r="G192" s="182">
        <v>10</v>
      </c>
      <c r="H192" s="189">
        <f t="shared" ref="H192:H194" si="97">G192*C192</f>
        <v>400</v>
      </c>
      <c r="I192" s="189">
        <f t="shared" si="93"/>
        <v>1496</v>
      </c>
      <c r="J192" s="183"/>
      <c r="K192" s="224"/>
    </row>
    <row r="193" spans="1:11" ht="19.8">
      <c r="A193" s="279">
        <v>8</v>
      </c>
      <c r="B193" s="172" t="s">
        <v>273</v>
      </c>
      <c r="C193" s="201">
        <v>20</v>
      </c>
      <c r="D193" s="173" t="s">
        <v>158</v>
      </c>
      <c r="E193" s="170">
        <v>102.5</v>
      </c>
      <c r="F193" s="189">
        <f t="shared" ref="F193" si="98">E193*C193</f>
        <v>2050</v>
      </c>
      <c r="G193" s="182">
        <v>69</v>
      </c>
      <c r="H193" s="189">
        <f t="shared" ref="H193" si="99">G193*C193</f>
        <v>1380</v>
      </c>
      <c r="I193" s="189">
        <f t="shared" si="93"/>
        <v>3430</v>
      </c>
      <c r="J193" s="183"/>
      <c r="K193" s="224"/>
    </row>
    <row r="194" spans="1:11" ht="19.8">
      <c r="A194" s="279">
        <v>9</v>
      </c>
      <c r="B194" s="172" t="s">
        <v>259</v>
      </c>
      <c r="C194" s="201">
        <f>175-31</f>
        <v>144</v>
      </c>
      <c r="D194" s="173" t="s">
        <v>14</v>
      </c>
      <c r="E194" s="170">
        <v>45</v>
      </c>
      <c r="F194" s="189">
        <f t="shared" si="96"/>
        <v>6480</v>
      </c>
      <c r="G194" s="182">
        <v>35</v>
      </c>
      <c r="H194" s="189">
        <f t="shared" si="97"/>
        <v>5040</v>
      </c>
      <c r="I194" s="189">
        <f t="shared" ref="I194" si="100">H194+F194</f>
        <v>11520</v>
      </c>
      <c r="J194" s="183"/>
      <c r="K194" s="224"/>
    </row>
    <row r="195" spans="1:11" ht="19.8">
      <c r="A195" s="279">
        <v>10</v>
      </c>
      <c r="B195" s="172" t="s">
        <v>260</v>
      </c>
      <c r="C195" s="201">
        <f>175-31</f>
        <v>144</v>
      </c>
      <c r="D195" s="173" t="s">
        <v>14</v>
      </c>
      <c r="E195" s="170">
        <v>50</v>
      </c>
      <c r="F195" s="189">
        <f t="shared" ref="F195" si="101">E195*C195</f>
        <v>7200</v>
      </c>
      <c r="G195" s="182">
        <v>38</v>
      </c>
      <c r="H195" s="189">
        <f t="shared" ref="H195" si="102">G195*C195</f>
        <v>5472</v>
      </c>
      <c r="I195" s="189">
        <f t="shared" si="93"/>
        <v>12672</v>
      </c>
      <c r="J195" s="183"/>
      <c r="K195" s="224"/>
    </row>
    <row r="196" spans="1:11" ht="20.399999999999999">
      <c r="A196" s="221"/>
      <c r="B196" s="159" t="s">
        <v>177</v>
      </c>
      <c r="C196" s="201"/>
      <c r="D196" s="173"/>
      <c r="E196" s="211"/>
      <c r="F196" s="206">
        <f>SUM(F186:F195)</f>
        <v>134393.19</v>
      </c>
      <c r="G196" s="213"/>
      <c r="H196" s="206">
        <f>SUM(H186:H195)</f>
        <v>45663.3</v>
      </c>
      <c r="I196" s="206">
        <f t="shared" ref="I196:I200" si="103">H196+F196</f>
        <v>180056.49</v>
      </c>
      <c r="J196" s="183"/>
    </row>
    <row r="197" spans="1:11" ht="20.399999999999999">
      <c r="A197" s="281">
        <v>2.15</v>
      </c>
      <c r="B197" s="246" t="s">
        <v>278</v>
      </c>
      <c r="C197" s="201"/>
      <c r="D197" s="173"/>
      <c r="E197" s="211"/>
      <c r="F197" s="206"/>
      <c r="G197" s="213"/>
      <c r="H197" s="206"/>
      <c r="I197" s="206"/>
      <c r="J197" s="183"/>
    </row>
    <row r="198" spans="1:11" s="273" customFormat="1" ht="19.8">
      <c r="A198" s="320">
        <v>1</v>
      </c>
      <c r="B198" s="259" t="s">
        <v>282</v>
      </c>
      <c r="C198" s="270">
        <v>14</v>
      </c>
      <c r="D198" s="261" t="s">
        <v>158</v>
      </c>
      <c r="E198" s="211">
        <v>680</v>
      </c>
      <c r="F198" s="321">
        <f t="shared" ref="F198" si="104">E198*C198</f>
        <v>9520</v>
      </c>
      <c r="G198" s="213">
        <v>0</v>
      </c>
      <c r="H198" s="321">
        <f t="shared" ref="H198" si="105">G198*C198</f>
        <v>0</v>
      </c>
      <c r="I198" s="321">
        <f t="shared" ref="I198:I199" si="106">H198+F198</f>
        <v>9520</v>
      </c>
      <c r="J198" s="272"/>
      <c r="K198" s="322"/>
    </row>
    <row r="199" spans="1:11" ht="20.399999999999999">
      <c r="A199" s="279"/>
      <c r="B199" s="219" t="s">
        <v>279</v>
      </c>
      <c r="C199" s="201"/>
      <c r="D199" s="173"/>
      <c r="E199" s="170"/>
      <c r="F199" s="206">
        <f>SUM(F198)</f>
        <v>9520</v>
      </c>
      <c r="G199" s="182"/>
      <c r="H199" s="206">
        <f>SUM(H198)</f>
        <v>0</v>
      </c>
      <c r="I199" s="206">
        <f t="shared" si="106"/>
        <v>9520</v>
      </c>
      <c r="J199" s="183"/>
    </row>
    <row r="200" spans="1:11" s="253" customFormat="1" ht="20.399999999999999">
      <c r="A200" s="221"/>
      <c r="B200" s="306" t="s">
        <v>251</v>
      </c>
      <c r="C200" s="307"/>
      <c r="D200" s="308"/>
      <c r="E200" s="309"/>
      <c r="F200" s="310">
        <f>SUM(F199,F196,F184,F175,F166,F158,F151,F142,F134,F128,F123,F117,F113,F108,F99)</f>
        <v>581106.5808</v>
      </c>
      <c r="G200" s="311"/>
      <c r="H200" s="310">
        <f>SUM(H199,H196,H184,H175,H166,H158,H151,H142,H134,H128,H123,H117,H113,H108,H99)</f>
        <v>252140.44</v>
      </c>
      <c r="I200" s="310">
        <f t="shared" si="103"/>
        <v>833247.02080000006</v>
      </c>
      <c r="J200" s="183"/>
      <c r="K200" s="252"/>
    </row>
    <row r="201" spans="1:11" ht="20.399999999999999">
      <c r="A201" s="221"/>
      <c r="B201" s="219"/>
      <c r="C201" s="201"/>
      <c r="D201" s="173"/>
      <c r="E201" s="211"/>
      <c r="F201" s="206"/>
      <c r="G201" s="213"/>
      <c r="H201" s="206"/>
      <c r="I201" s="206"/>
      <c r="J201" s="183"/>
    </row>
    <row r="202" spans="1:11" ht="20.399999999999999">
      <c r="A202" s="284">
        <v>3</v>
      </c>
      <c r="B202" s="283" t="s">
        <v>201</v>
      </c>
      <c r="C202" s="235"/>
      <c r="D202" s="236"/>
      <c r="E202" s="237"/>
      <c r="F202" s="238"/>
      <c r="G202" s="237"/>
      <c r="H202" s="239"/>
      <c r="I202" s="237"/>
      <c r="J202" s="183"/>
    </row>
    <row r="203" spans="1:11" ht="19.8">
      <c r="A203" s="240">
        <v>1</v>
      </c>
      <c r="B203" s="241" t="s">
        <v>202</v>
      </c>
      <c r="C203" s="242">
        <v>81</v>
      </c>
      <c r="D203" s="243" t="s">
        <v>37</v>
      </c>
      <c r="E203" s="242">
        <v>550</v>
      </c>
      <c r="F203" s="242">
        <f>C203*E203</f>
        <v>44550</v>
      </c>
      <c r="G203" s="242">
        <v>115</v>
      </c>
      <c r="H203" s="242">
        <f>G203*C203</f>
        <v>9315</v>
      </c>
      <c r="I203" s="242">
        <f t="shared" ref="I203:I225" si="107">F203+H203</f>
        <v>53865</v>
      </c>
      <c r="J203" s="183"/>
    </row>
    <row r="204" spans="1:11" ht="19.8">
      <c r="A204" s="240">
        <v>2</v>
      </c>
      <c r="B204" s="241" t="s">
        <v>203</v>
      </c>
      <c r="C204" s="242">
        <v>6</v>
      </c>
      <c r="D204" s="243" t="s">
        <v>37</v>
      </c>
      <c r="E204" s="242">
        <v>700</v>
      </c>
      <c r="F204" s="242">
        <f t="shared" ref="F204:F225" si="108">C204*E204</f>
        <v>4200</v>
      </c>
      <c r="G204" s="242">
        <v>115</v>
      </c>
      <c r="H204" s="242">
        <f>C204*G204</f>
        <v>690</v>
      </c>
      <c r="I204" s="242">
        <f t="shared" si="107"/>
        <v>4890</v>
      </c>
      <c r="J204" s="183"/>
    </row>
    <row r="205" spans="1:11" ht="19.8">
      <c r="A205" s="240">
        <v>3</v>
      </c>
      <c r="B205" s="241" t="s">
        <v>204</v>
      </c>
      <c r="C205" s="242">
        <v>1</v>
      </c>
      <c r="D205" s="243" t="s">
        <v>37</v>
      </c>
      <c r="E205" s="242">
        <v>1000</v>
      </c>
      <c r="F205" s="242">
        <f t="shared" si="108"/>
        <v>1000</v>
      </c>
      <c r="G205" s="242">
        <v>135</v>
      </c>
      <c r="H205" s="242">
        <f>C205*G205</f>
        <v>135</v>
      </c>
      <c r="I205" s="242">
        <f t="shared" si="107"/>
        <v>1135</v>
      </c>
      <c r="J205" s="183"/>
    </row>
    <row r="206" spans="1:11" ht="19.8">
      <c r="A206" s="240">
        <v>4</v>
      </c>
      <c r="B206" s="241" t="s">
        <v>205</v>
      </c>
      <c r="C206" s="242">
        <v>12</v>
      </c>
      <c r="D206" s="243" t="s">
        <v>37</v>
      </c>
      <c r="E206" s="242">
        <v>600</v>
      </c>
      <c r="F206" s="242">
        <f t="shared" si="108"/>
        <v>7200</v>
      </c>
      <c r="G206" s="242">
        <v>115</v>
      </c>
      <c r="H206" s="242">
        <f>C206*G206</f>
        <v>1380</v>
      </c>
      <c r="I206" s="242">
        <f t="shared" si="107"/>
        <v>8580</v>
      </c>
      <c r="J206" s="183"/>
    </row>
    <row r="207" spans="1:11" ht="19.8">
      <c r="A207" s="240">
        <v>5</v>
      </c>
      <c r="B207" s="241" t="s">
        <v>206</v>
      </c>
      <c r="C207" s="244">
        <v>8</v>
      </c>
      <c r="D207" s="245" t="s">
        <v>37</v>
      </c>
      <c r="E207" s="242">
        <v>100</v>
      </c>
      <c r="F207" s="242">
        <f t="shared" si="108"/>
        <v>800</v>
      </c>
      <c r="G207" s="244">
        <v>70</v>
      </c>
      <c r="H207" s="242">
        <f t="shared" ref="H207:H225" si="109">C207*G207</f>
        <v>560</v>
      </c>
      <c r="I207" s="242">
        <f t="shared" si="107"/>
        <v>1360</v>
      </c>
      <c r="J207" s="183"/>
    </row>
    <row r="208" spans="1:11" ht="19.8">
      <c r="A208" s="240">
        <v>6</v>
      </c>
      <c r="B208" s="241" t="s">
        <v>207</v>
      </c>
      <c r="C208" s="244">
        <v>2</v>
      </c>
      <c r="D208" s="245" t="s">
        <v>37</v>
      </c>
      <c r="E208" s="244">
        <v>150</v>
      </c>
      <c r="F208" s="244">
        <f t="shared" si="108"/>
        <v>300</v>
      </c>
      <c r="G208" s="244">
        <v>90</v>
      </c>
      <c r="H208" s="242">
        <f t="shared" si="109"/>
        <v>180</v>
      </c>
      <c r="I208" s="244">
        <f t="shared" si="107"/>
        <v>480</v>
      </c>
      <c r="J208" s="183"/>
    </row>
    <row r="209" spans="1:10" ht="19.8">
      <c r="A209" s="240">
        <v>7</v>
      </c>
      <c r="B209" s="241" t="s">
        <v>208</v>
      </c>
      <c r="C209" s="244">
        <v>1</v>
      </c>
      <c r="D209" s="245" t="s">
        <v>37</v>
      </c>
      <c r="E209" s="244">
        <v>315</v>
      </c>
      <c r="F209" s="244">
        <f t="shared" si="108"/>
        <v>315</v>
      </c>
      <c r="G209" s="244">
        <v>115</v>
      </c>
      <c r="H209" s="242">
        <f t="shared" si="109"/>
        <v>115</v>
      </c>
      <c r="I209" s="244">
        <f t="shared" si="107"/>
        <v>430</v>
      </c>
      <c r="J209" s="183"/>
    </row>
    <row r="210" spans="1:10" ht="19.8">
      <c r="A210" s="240">
        <v>8</v>
      </c>
      <c r="B210" s="241" t="s">
        <v>209</v>
      </c>
      <c r="C210" s="244">
        <v>1</v>
      </c>
      <c r="D210" s="245" t="s">
        <v>210</v>
      </c>
      <c r="E210" s="244">
        <v>5500</v>
      </c>
      <c r="F210" s="244">
        <f t="shared" si="108"/>
        <v>5500</v>
      </c>
      <c r="G210" s="244">
        <v>900</v>
      </c>
      <c r="H210" s="242">
        <f t="shared" si="109"/>
        <v>900</v>
      </c>
      <c r="I210" s="244">
        <f t="shared" si="107"/>
        <v>6400</v>
      </c>
      <c r="J210" s="183"/>
    </row>
    <row r="211" spans="1:10" ht="19.8">
      <c r="A211" s="240">
        <v>9</v>
      </c>
      <c r="B211" s="241" t="s">
        <v>211</v>
      </c>
      <c r="C211" s="244">
        <v>1</v>
      </c>
      <c r="D211" s="245" t="s">
        <v>199</v>
      </c>
      <c r="E211" s="244">
        <v>1900</v>
      </c>
      <c r="F211" s="244">
        <f t="shared" si="108"/>
        <v>1900</v>
      </c>
      <c r="G211" s="244">
        <v>150</v>
      </c>
      <c r="H211" s="242">
        <f>C211*G211</f>
        <v>150</v>
      </c>
      <c r="I211" s="244">
        <f t="shared" si="107"/>
        <v>2050</v>
      </c>
      <c r="J211" s="183"/>
    </row>
    <row r="212" spans="1:10" ht="19.8">
      <c r="A212" s="240">
        <v>10</v>
      </c>
      <c r="B212" s="241" t="s">
        <v>212</v>
      </c>
      <c r="C212" s="244">
        <v>6</v>
      </c>
      <c r="D212" s="245" t="s">
        <v>199</v>
      </c>
      <c r="E212" s="244">
        <v>1102</v>
      </c>
      <c r="F212" s="244">
        <f t="shared" si="108"/>
        <v>6612</v>
      </c>
      <c r="G212" s="244">
        <v>100</v>
      </c>
      <c r="H212" s="242">
        <f t="shared" si="109"/>
        <v>600</v>
      </c>
      <c r="I212" s="244">
        <f t="shared" si="107"/>
        <v>7212</v>
      </c>
      <c r="J212" s="183"/>
    </row>
    <row r="213" spans="1:10" ht="19.8">
      <c r="A213" s="240">
        <v>11</v>
      </c>
      <c r="B213" s="241" t="s">
        <v>213</v>
      </c>
      <c r="C213" s="244">
        <v>5</v>
      </c>
      <c r="D213" s="245" t="s">
        <v>199</v>
      </c>
      <c r="E213" s="244">
        <v>99</v>
      </c>
      <c r="F213" s="244">
        <f t="shared" si="108"/>
        <v>495</v>
      </c>
      <c r="G213" s="244">
        <v>35</v>
      </c>
      <c r="H213" s="242">
        <f t="shared" si="109"/>
        <v>175</v>
      </c>
      <c r="I213" s="244">
        <f t="shared" si="107"/>
        <v>670</v>
      </c>
      <c r="J213" s="183"/>
    </row>
    <row r="214" spans="1:10" ht="19.8">
      <c r="A214" s="240">
        <v>12</v>
      </c>
      <c r="B214" s="241" t="s">
        <v>214</v>
      </c>
      <c r="C214" s="244">
        <v>1</v>
      </c>
      <c r="D214" s="245" t="s">
        <v>199</v>
      </c>
      <c r="E214" s="244">
        <v>99</v>
      </c>
      <c r="F214" s="244">
        <f t="shared" si="108"/>
        <v>99</v>
      </c>
      <c r="G214" s="244">
        <v>35</v>
      </c>
      <c r="H214" s="242">
        <f t="shared" si="109"/>
        <v>35</v>
      </c>
      <c r="I214" s="244">
        <f t="shared" si="107"/>
        <v>134</v>
      </c>
      <c r="J214" s="183"/>
    </row>
    <row r="215" spans="1:10" ht="19.8">
      <c r="A215" s="240">
        <v>13</v>
      </c>
      <c r="B215" s="241" t="s">
        <v>215</v>
      </c>
      <c r="C215" s="244">
        <v>1</v>
      </c>
      <c r="D215" s="245" t="s">
        <v>37</v>
      </c>
      <c r="E215" s="244">
        <v>4000</v>
      </c>
      <c r="F215" s="244">
        <f t="shared" si="108"/>
        <v>4000</v>
      </c>
      <c r="G215" s="244">
        <v>500</v>
      </c>
      <c r="H215" s="244">
        <f t="shared" si="109"/>
        <v>500</v>
      </c>
      <c r="I215" s="244">
        <f t="shared" si="107"/>
        <v>4500</v>
      </c>
      <c r="J215" s="183"/>
    </row>
    <row r="216" spans="1:10" ht="19.8">
      <c r="A216" s="240">
        <v>14</v>
      </c>
      <c r="B216" s="241" t="s">
        <v>216</v>
      </c>
      <c r="C216" s="244">
        <v>13</v>
      </c>
      <c r="D216" s="245" t="s">
        <v>37</v>
      </c>
      <c r="E216" s="244">
        <v>230</v>
      </c>
      <c r="F216" s="244">
        <f t="shared" si="108"/>
        <v>2990</v>
      </c>
      <c r="G216" s="244">
        <v>80</v>
      </c>
      <c r="H216" s="244">
        <f t="shared" si="109"/>
        <v>1040</v>
      </c>
      <c r="I216" s="244">
        <f t="shared" si="107"/>
        <v>4030</v>
      </c>
      <c r="J216" s="183"/>
    </row>
    <row r="217" spans="1:10" ht="19.8">
      <c r="A217" s="240">
        <v>15</v>
      </c>
      <c r="B217" s="241" t="s">
        <v>217</v>
      </c>
      <c r="C217" s="244">
        <v>3</v>
      </c>
      <c r="D217" s="245" t="s">
        <v>218</v>
      </c>
      <c r="E217" s="244">
        <v>0</v>
      </c>
      <c r="F217" s="244">
        <f t="shared" si="108"/>
        <v>0</v>
      </c>
      <c r="G217" s="244">
        <v>400</v>
      </c>
      <c r="H217" s="244">
        <f t="shared" si="109"/>
        <v>1200</v>
      </c>
      <c r="I217" s="244">
        <f t="shared" si="107"/>
        <v>1200</v>
      </c>
      <c r="J217" s="183"/>
    </row>
    <row r="218" spans="1:10" ht="19.8">
      <c r="A218" s="240">
        <v>16</v>
      </c>
      <c r="B218" s="241" t="s">
        <v>219</v>
      </c>
      <c r="C218" s="244">
        <v>1300</v>
      </c>
      <c r="D218" s="245" t="s">
        <v>2</v>
      </c>
      <c r="E218" s="244">
        <v>11</v>
      </c>
      <c r="F218" s="244">
        <f t="shared" si="108"/>
        <v>14300</v>
      </c>
      <c r="G218" s="244">
        <v>7</v>
      </c>
      <c r="H218" s="244">
        <f t="shared" si="109"/>
        <v>9100</v>
      </c>
      <c r="I218" s="244">
        <f t="shared" si="107"/>
        <v>23400</v>
      </c>
      <c r="J218" s="183"/>
    </row>
    <row r="219" spans="1:10" ht="19.8">
      <c r="A219" s="240">
        <v>17</v>
      </c>
      <c r="B219" s="241" t="s">
        <v>220</v>
      </c>
      <c r="C219" s="244">
        <v>380</v>
      </c>
      <c r="D219" s="245" t="s">
        <v>2</v>
      </c>
      <c r="E219" s="244">
        <v>17</v>
      </c>
      <c r="F219" s="244">
        <f t="shared" si="108"/>
        <v>6460</v>
      </c>
      <c r="G219" s="244">
        <v>10</v>
      </c>
      <c r="H219" s="244">
        <f t="shared" si="109"/>
        <v>3800</v>
      </c>
      <c r="I219" s="244">
        <f t="shared" si="107"/>
        <v>10260</v>
      </c>
      <c r="J219" s="183"/>
    </row>
    <row r="220" spans="1:10" ht="19.8">
      <c r="A220" s="240">
        <v>18</v>
      </c>
      <c r="B220" s="241" t="s">
        <v>221</v>
      </c>
      <c r="C220" s="244">
        <v>10</v>
      </c>
      <c r="D220" s="245" t="s">
        <v>2</v>
      </c>
      <c r="E220" s="244">
        <v>49</v>
      </c>
      <c r="F220" s="244">
        <f t="shared" si="108"/>
        <v>490</v>
      </c>
      <c r="G220" s="244">
        <v>16</v>
      </c>
      <c r="H220" s="244">
        <f t="shared" si="109"/>
        <v>160</v>
      </c>
      <c r="I220" s="244">
        <f t="shared" si="107"/>
        <v>650</v>
      </c>
      <c r="J220" s="183"/>
    </row>
    <row r="221" spans="1:10" ht="19.8">
      <c r="A221" s="240">
        <v>19</v>
      </c>
      <c r="B221" s="241" t="s">
        <v>222</v>
      </c>
      <c r="C221" s="244">
        <v>10</v>
      </c>
      <c r="D221" s="245" t="s">
        <v>2</v>
      </c>
      <c r="E221" s="244">
        <v>76</v>
      </c>
      <c r="F221" s="244">
        <f t="shared" si="108"/>
        <v>760</v>
      </c>
      <c r="G221" s="244">
        <v>20</v>
      </c>
      <c r="H221" s="244">
        <f t="shared" si="109"/>
        <v>200</v>
      </c>
      <c r="I221" s="244">
        <f t="shared" si="107"/>
        <v>960</v>
      </c>
      <c r="J221" s="183"/>
    </row>
    <row r="222" spans="1:10" ht="19.8">
      <c r="A222" s="240">
        <v>20</v>
      </c>
      <c r="B222" s="241" t="s">
        <v>223</v>
      </c>
      <c r="C222" s="244">
        <v>30</v>
      </c>
      <c r="D222" s="245" t="s">
        <v>2</v>
      </c>
      <c r="E222" s="244">
        <v>120</v>
      </c>
      <c r="F222" s="244">
        <f t="shared" si="108"/>
        <v>3600</v>
      </c>
      <c r="G222" s="244">
        <v>25</v>
      </c>
      <c r="H222" s="244">
        <f t="shared" si="109"/>
        <v>750</v>
      </c>
      <c r="I222" s="244">
        <f t="shared" si="107"/>
        <v>4350</v>
      </c>
      <c r="J222" s="183"/>
    </row>
    <row r="223" spans="1:10" ht="19.8">
      <c r="A223" s="240">
        <v>21</v>
      </c>
      <c r="B223" s="241" t="s">
        <v>224</v>
      </c>
      <c r="C223" s="244">
        <v>150</v>
      </c>
      <c r="D223" s="243" t="s">
        <v>225</v>
      </c>
      <c r="E223" s="244">
        <v>55</v>
      </c>
      <c r="F223" s="244">
        <f t="shared" si="108"/>
        <v>8250</v>
      </c>
      <c r="G223" s="244">
        <v>92</v>
      </c>
      <c r="H223" s="244">
        <f t="shared" si="109"/>
        <v>13800</v>
      </c>
      <c r="I223" s="244">
        <f t="shared" si="107"/>
        <v>22050</v>
      </c>
      <c r="J223" s="183"/>
    </row>
    <row r="224" spans="1:10" ht="19.8">
      <c r="A224" s="240">
        <v>22</v>
      </c>
      <c r="B224" s="241" t="s">
        <v>226</v>
      </c>
      <c r="C224" s="244">
        <v>3</v>
      </c>
      <c r="D224" s="245" t="s">
        <v>225</v>
      </c>
      <c r="E224" s="244">
        <v>190</v>
      </c>
      <c r="F224" s="244">
        <f t="shared" si="108"/>
        <v>570</v>
      </c>
      <c r="G224" s="244">
        <v>114</v>
      </c>
      <c r="H224" s="244">
        <f t="shared" si="109"/>
        <v>342</v>
      </c>
      <c r="I224" s="244">
        <f t="shared" si="107"/>
        <v>912</v>
      </c>
      <c r="J224" s="183"/>
    </row>
    <row r="225" spans="1:10" ht="19.8">
      <c r="A225" s="240">
        <v>23</v>
      </c>
      <c r="B225" s="241" t="s">
        <v>227</v>
      </c>
      <c r="C225" s="244">
        <v>1</v>
      </c>
      <c r="D225" s="245" t="s">
        <v>228</v>
      </c>
      <c r="E225" s="244">
        <v>2604</v>
      </c>
      <c r="F225" s="244">
        <f t="shared" si="108"/>
        <v>2604</v>
      </c>
      <c r="G225" s="244">
        <v>781</v>
      </c>
      <c r="H225" s="244">
        <f t="shared" si="109"/>
        <v>781</v>
      </c>
      <c r="I225" s="244">
        <f t="shared" si="107"/>
        <v>3385</v>
      </c>
      <c r="J225" s="183"/>
    </row>
    <row r="226" spans="1:10" ht="20.399999999999999">
      <c r="A226" s="240"/>
      <c r="B226" s="300" t="s">
        <v>229</v>
      </c>
      <c r="C226" s="305"/>
      <c r="D226" s="302"/>
      <c r="E226" s="305"/>
      <c r="F226" s="305">
        <f>SUM(F203:F225)</f>
        <v>116995</v>
      </c>
      <c r="G226" s="305"/>
      <c r="H226" s="305">
        <f>SUM(H203:H225)</f>
        <v>45908</v>
      </c>
      <c r="I226" s="305">
        <f>SUM(I203:I225)</f>
        <v>162903</v>
      </c>
      <c r="J226" s="183"/>
    </row>
    <row r="227" spans="1:10" ht="20.399999999999999">
      <c r="A227" s="285"/>
      <c r="B227" s="286"/>
      <c r="C227" s="294"/>
      <c r="D227" s="295"/>
      <c r="E227" s="294"/>
      <c r="F227" s="294"/>
      <c r="G227" s="294"/>
      <c r="H227" s="293"/>
      <c r="I227" s="293"/>
      <c r="J227" s="183"/>
    </row>
    <row r="228" spans="1:10" ht="20.399999999999999">
      <c r="A228" s="288">
        <v>4</v>
      </c>
      <c r="B228" s="287" t="s">
        <v>230</v>
      </c>
      <c r="C228" s="293"/>
      <c r="D228" s="291"/>
      <c r="E228" s="294"/>
      <c r="F228" s="297"/>
      <c r="G228" s="292"/>
      <c r="H228" s="294"/>
      <c r="I228" s="293"/>
      <c r="J228" s="183"/>
    </row>
    <row r="229" spans="1:10" ht="19.8">
      <c r="A229" s="289">
        <v>1</v>
      </c>
      <c r="B229" s="290" t="s">
        <v>231</v>
      </c>
      <c r="C229" s="239">
        <v>3</v>
      </c>
      <c r="D229" s="296" t="s">
        <v>218</v>
      </c>
      <c r="E229" s="239">
        <v>1000</v>
      </c>
      <c r="F229" s="299">
        <f t="shared" ref="F229" si="110">C229*E229</f>
        <v>3000</v>
      </c>
      <c r="G229" s="239">
        <v>0</v>
      </c>
      <c r="H229" s="298">
        <f t="shared" ref="H229" si="111">C229*G229</f>
        <v>0</v>
      </c>
      <c r="I229" s="242">
        <f t="shared" ref="I229" si="112">F229+H229</f>
        <v>3000</v>
      </c>
      <c r="J229" s="183"/>
    </row>
    <row r="230" spans="1:10" ht="20.399999999999999">
      <c r="A230" s="291"/>
      <c r="B230" s="300" t="s">
        <v>232</v>
      </c>
      <c r="C230" s="301"/>
      <c r="D230" s="302"/>
      <c r="E230" s="303"/>
      <c r="F230" s="301">
        <f>SUM(F229:F229)</f>
        <v>3000</v>
      </c>
      <c r="G230" s="301"/>
      <c r="H230" s="304"/>
      <c r="I230" s="304">
        <f>SUM(I229:I229)</f>
        <v>3000</v>
      </c>
      <c r="J230" s="183"/>
    </row>
    <row r="231" spans="1:10" ht="20.399999999999999">
      <c r="A231" s="221"/>
      <c r="B231" s="219"/>
      <c r="C231" s="174"/>
      <c r="D231" s="75"/>
      <c r="E231" s="211"/>
      <c r="F231" s="200"/>
      <c r="G231" s="213"/>
      <c r="H231" s="200"/>
      <c r="I231" s="206"/>
      <c r="J231" s="183"/>
    </row>
    <row r="232" spans="1:10" ht="19.8">
      <c r="J232" s="234"/>
    </row>
  </sheetData>
  <mergeCells count="11">
    <mergeCell ref="J5:J6"/>
    <mergeCell ref="A1:J1"/>
    <mergeCell ref="A2:C2"/>
    <mergeCell ref="A5:A6"/>
    <mergeCell ref="B5:B6"/>
    <mergeCell ref="D5:D6"/>
    <mergeCell ref="C5:C6"/>
    <mergeCell ref="E5:F5"/>
    <mergeCell ref="G5:H5"/>
    <mergeCell ref="H2:J2"/>
    <mergeCell ref="D2:F2"/>
  </mergeCells>
  <phoneticPr fontId="2" type="noConversion"/>
  <printOptions gridLines="1"/>
  <pageMargins left="0.31496062992125984" right="0.19685039370078741" top="0.78740157480314965" bottom="0.78740157480314965" header="0.51181102362204722" footer="0.51181102362204722"/>
  <pageSetup paperSize="9" scale="96" orientation="landscape" r:id="rId1"/>
  <headerFooter alignWithMargins="0">
    <oddHeader>&amp;Rแบบ  ปร.4  แผ่นที่&amp;P/&amp;N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topLeftCell="A7" zoomScaleNormal="100" zoomScaleSheetLayoutView="100" workbookViewId="0">
      <selection activeCell="C15" sqref="C15"/>
    </sheetView>
  </sheetViews>
  <sheetFormatPr defaultRowHeight="21"/>
  <cols>
    <col min="1" max="1" width="15.6640625" style="143" customWidth="1"/>
    <col min="2" max="2" width="1.5546875" style="129" customWidth="1"/>
    <col min="3" max="3" width="83.5546875" style="139" customWidth="1"/>
    <col min="4" max="6" width="9.109375" style="129"/>
    <col min="7" max="7" width="28.109375" style="129" customWidth="1"/>
    <col min="8" max="256" width="9.109375" style="129"/>
    <col min="257" max="257" width="15.6640625" style="129" customWidth="1"/>
    <col min="258" max="258" width="1.5546875" style="129" customWidth="1"/>
    <col min="259" max="259" width="83.5546875" style="129" customWidth="1"/>
    <col min="260" max="262" width="9.109375" style="129"/>
    <col min="263" max="263" width="28.109375" style="129" customWidth="1"/>
    <col min="264" max="512" width="9.109375" style="129"/>
    <col min="513" max="513" width="15.6640625" style="129" customWidth="1"/>
    <col min="514" max="514" width="1.5546875" style="129" customWidth="1"/>
    <col min="515" max="515" width="83.5546875" style="129" customWidth="1"/>
    <col min="516" max="518" width="9.109375" style="129"/>
    <col min="519" max="519" width="28.109375" style="129" customWidth="1"/>
    <col min="520" max="768" width="9.109375" style="129"/>
    <col min="769" max="769" width="15.6640625" style="129" customWidth="1"/>
    <col min="770" max="770" width="1.5546875" style="129" customWidth="1"/>
    <col min="771" max="771" width="83.5546875" style="129" customWidth="1"/>
    <col min="772" max="774" width="9.109375" style="129"/>
    <col min="775" max="775" width="28.109375" style="129" customWidth="1"/>
    <col min="776" max="1024" width="9.109375" style="129"/>
    <col min="1025" max="1025" width="15.6640625" style="129" customWidth="1"/>
    <col min="1026" max="1026" width="1.5546875" style="129" customWidth="1"/>
    <col min="1027" max="1027" width="83.5546875" style="129" customWidth="1"/>
    <col min="1028" max="1030" width="9.109375" style="129"/>
    <col min="1031" max="1031" width="28.109375" style="129" customWidth="1"/>
    <col min="1032" max="1280" width="9.109375" style="129"/>
    <col min="1281" max="1281" width="15.6640625" style="129" customWidth="1"/>
    <col min="1282" max="1282" width="1.5546875" style="129" customWidth="1"/>
    <col min="1283" max="1283" width="83.5546875" style="129" customWidth="1"/>
    <col min="1284" max="1286" width="9.109375" style="129"/>
    <col min="1287" max="1287" width="28.109375" style="129" customWidth="1"/>
    <col min="1288" max="1536" width="9.109375" style="129"/>
    <col min="1537" max="1537" width="15.6640625" style="129" customWidth="1"/>
    <col min="1538" max="1538" width="1.5546875" style="129" customWidth="1"/>
    <col min="1539" max="1539" width="83.5546875" style="129" customWidth="1"/>
    <col min="1540" max="1542" width="9.109375" style="129"/>
    <col min="1543" max="1543" width="28.109375" style="129" customWidth="1"/>
    <col min="1544" max="1792" width="9.109375" style="129"/>
    <col min="1793" max="1793" width="15.6640625" style="129" customWidth="1"/>
    <col min="1794" max="1794" width="1.5546875" style="129" customWidth="1"/>
    <col min="1795" max="1795" width="83.5546875" style="129" customWidth="1"/>
    <col min="1796" max="1798" width="9.109375" style="129"/>
    <col min="1799" max="1799" width="28.109375" style="129" customWidth="1"/>
    <col min="1800" max="2048" width="9.109375" style="129"/>
    <col min="2049" max="2049" width="15.6640625" style="129" customWidth="1"/>
    <col min="2050" max="2050" width="1.5546875" style="129" customWidth="1"/>
    <col min="2051" max="2051" width="83.5546875" style="129" customWidth="1"/>
    <col min="2052" max="2054" width="9.109375" style="129"/>
    <col min="2055" max="2055" width="28.109375" style="129" customWidth="1"/>
    <col min="2056" max="2304" width="9.109375" style="129"/>
    <col min="2305" max="2305" width="15.6640625" style="129" customWidth="1"/>
    <col min="2306" max="2306" width="1.5546875" style="129" customWidth="1"/>
    <col min="2307" max="2307" width="83.5546875" style="129" customWidth="1"/>
    <col min="2308" max="2310" width="9.109375" style="129"/>
    <col min="2311" max="2311" width="28.109375" style="129" customWidth="1"/>
    <col min="2312" max="2560" width="9.109375" style="129"/>
    <col min="2561" max="2561" width="15.6640625" style="129" customWidth="1"/>
    <col min="2562" max="2562" width="1.5546875" style="129" customWidth="1"/>
    <col min="2563" max="2563" width="83.5546875" style="129" customWidth="1"/>
    <col min="2564" max="2566" width="9.109375" style="129"/>
    <col min="2567" max="2567" width="28.109375" style="129" customWidth="1"/>
    <col min="2568" max="2816" width="9.109375" style="129"/>
    <col min="2817" max="2817" width="15.6640625" style="129" customWidth="1"/>
    <col min="2818" max="2818" width="1.5546875" style="129" customWidth="1"/>
    <col min="2819" max="2819" width="83.5546875" style="129" customWidth="1"/>
    <col min="2820" max="2822" width="9.109375" style="129"/>
    <col min="2823" max="2823" width="28.109375" style="129" customWidth="1"/>
    <col min="2824" max="3072" width="9.109375" style="129"/>
    <col min="3073" max="3073" width="15.6640625" style="129" customWidth="1"/>
    <col min="3074" max="3074" width="1.5546875" style="129" customWidth="1"/>
    <col min="3075" max="3075" width="83.5546875" style="129" customWidth="1"/>
    <col min="3076" max="3078" width="9.109375" style="129"/>
    <col min="3079" max="3079" width="28.109375" style="129" customWidth="1"/>
    <col min="3080" max="3328" width="9.109375" style="129"/>
    <col min="3329" max="3329" width="15.6640625" style="129" customWidth="1"/>
    <col min="3330" max="3330" width="1.5546875" style="129" customWidth="1"/>
    <col min="3331" max="3331" width="83.5546875" style="129" customWidth="1"/>
    <col min="3332" max="3334" width="9.109375" style="129"/>
    <col min="3335" max="3335" width="28.109375" style="129" customWidth="1"/>
    <col min="3336" max="3584" width="9.109375" style="129"/>
    <col min="3585" max="3585" width="15.6640625" style="129" customWidth="1"/>
    <col min="3586" max="3586" width="1.5546875" style="129" customWidth="1"/>
    <col min="3587" max="3587" width="83.5546875" style="129" customWidth="1"/>
    <col min="3588" max="3590" width="9.109375" style="129"/>
    <col min="3591" max="3591" width="28.109375" style="129" customWidth="1"/>
    <col min="3592" max="3840" width="9.109375" style="129"/>
    <col min="3841" max="3841" width="15.6640625" style="129" customWidth="1"/>
    <col min="3842" max="3842" width="1.5546875" style="129" customWidth="1"/>
    <col min="3843" max="3843" width="83.5546875" style="129" customWidth="1"/>
    <col min="3844" max="3846" width="9.109375" style="129"/>
    <col min="3847" max="3847" width="28.109375" style="129" customWidth="1"/>
    <col min="3848" max="4096" width="9.109375" style="129"/>
    <col min="4097" max="4097" width="15.6640625" style="129" customWidth="1"/>
    <col min="4098" max="4098" width="1.5546875" style="129" customWidth="1"/>
    <col min="4099" max="4099" width="83.5546875" style="129" customWidth="1"/>
    <col min="4100" max="4102" width="9.109375" style="129"/>
    <col min="4103" max="4103" width="28.109375" style="129" customWidth="1"/>
    <col min="4104" max="4352" width="9.109375" style="129"/>
    <col min="4353" max="4353" width="15.6640625" style="129" customWidth="1"/>
    <col min="4354" max="4354" width="1.5546875" style="129" customWidth="1"/>
    <col min="4355" max="4355" width="83.5546875" style="129" customWidth="1"/>
    <col min="4356" max="4358" width="9.109375" style="129"/>
    <col min="4359" max="4359" width="28.109375" style="129" customWidth="1"/>
    <col min="4360" max="4608" width="9.109375" style="129"/>
    <col min="4609" max="4609" width="15.6640625" style="129" customWidth="1"/>
    <col min="4610" max="4610" width="1.5546875" style="129" customWidth="1"/>
    <col min="4611" max="4611" width="83.5546875" style="129" customWidth="1"/>
    <col min="4612" max="4614" width="9.109375" style="129"/>
    <col min="4615" max="4615" width="28.109375" style="129" customWidth="1"/>
    <col min="4616" max="4864" width="9.109375" style="129"/>
    <col min="4865" max="4865" width="15.6640625" style="129" customWidth="1"/>
    <col min="4866" max="4866" width="1.5546875" style="129" customWidth="1"/>
    <col min="4867" max="4867" width="83.5546875" style="129" customWidth="1"/>
    <col min="4868" max="4870" width="9.109375" style="129"/>
    <col min="4871" max="4871" width="28.109375" style="129" customWidth="1"/>
    <col min="4872" max="5120" width="9.109375" style="129"/>
    <col min="5121" max="5121" width="15.6640625" style="129" customWidth="1"/>
    <col min="5122" max="5122" width="1.5546875" style="129" customWidth="1"/>
    <col min="5123" max="5123" width="83.5546875" style="129" customWidth="1"/>
    <col min="5124" max="5126" width="9.109375" style="129"/>
    <col min="5127" max="5127" width="28.109375" style="129" customWidth="1"/>
    <col min="5128" max="5376" width="9.109375" style="129"/>
    <col min="5377" max="5377" width="15.6640625" style="129" customWidth="1"/>
    <col min="5378" max="5378" width="1.5546875" style="129" customWidth="1"/>
    <col min="5379" max="5379" width="83.5546875" style="129" customWidth="1"/>
    <col min="5380" max="5382" width="9.109375" style="129"/>
    <col min="5383" max="5383" width="28.109375" style="129" customWidth="1"/>
    <col min="5384" max="5632" width="9.109375" style="129"/>
    <col min="5633" max="5633" width="15.6640625" style="129" customWidth="1"/>
    <col min="5634" max="5634" width="1.5546875" style="129" customWidth="1"/>
    <col min="5635" max="5635" width="83.5546875" style="129" customWidth="1"/>
    <col min="5636" max="5638" width="9.109375" style="129"/>
    <col min="5639" max="5639" width="28.109375" style="129" customWidth="1"/>
    <col min="5640" max="5888" width="9.109375" style="129"/>
    <col min="5889" max="5889" width="15.6640625" style="129" customWidth="1"/>
    <col min="5890" max="5890" width="1.5546875" style="129" customWidth="1"/>
    <col min="5891" max="5891" width="83.5546875" style="129" customWidth="1"/>
    <col min="5892" max="5894" width="9.109375" style="129"/>
    <col min="5895" max="5895" width="28.109375" style="129" customWidth="1"/>
    <col min="5896" max="6144" width="9.109375" style="129"/>
    <col min="6145" max="6145" width="15.6640625" style="129" customWidth="1"/>
    <col min="6146" max="6146" width="1.5546875" style="129" customWidth="1"/>
    <col min="6147" max="6147" width="83.5546875" style="129" customWidth="1"/>
    <col min="6148" max="6150" width="9.109375" style="129"/>
    <col min="6151" max="6151" width="28.109375" style="129" customWidth="1"/>
    <col min="6152" max="6400" width="9.109375" style="129"/>
    <col min="6401" max="6401" width="15.6640625" style="129" customWidth="1"/>
    <col min="6402" max="6402" width="1.5546875" style="129" customWidth="1"/>
    <col min="6403" max="6403" width="83.5546875" style="129" customWidth="1"/>
    <col min="6404" max="6406" width="9.109375" style="129"/>
    <col min="6407" max="6407" width="28.109375" style="129" customWidth="1"/>
    <col min="6408" max="6656" width="9.109375" style="129"/>
    <col min="6657" max="6657" width="15.6640625" style="129" customWidth="1"/>
    <col min="6658" max="6658" width="1.5546875" style="129" customWidth="1"/>
    <col min="6659" max="6659" width="83.5546875" style="129" customWidth="1"/>
    <col min="6660" max="6662" width="9.109375" style="129"/>
    <col min="6663" max="6663" width="28.109375" style="129" customWidth="1"/>
    <col min="6664" max="6912" width="9.109375" style="129"/>
    <col min="6913" max="6913" width="15.6640625" style="129" customWidth="1"/>
    <col min="6914" max="6914" width="1.5546875" style="129" customWidth="1"/>
    <col min="6915" max="6915" width="83.5546875" style="129" customWidth="1"/>
    <col min="6916" max="6918" width="9.109375" style="129"/>
    <col min="6919" max="6919" width="28.109375" style="129" customWidth="1"/>
    <col min="6920" max="7168" width="9.109375" style="129"/>
    <col min="7169" max="7169" width="15.6640625" style="129" customWidth="1"/>
    <col min="7170" max="7170" width="1.5546875" style="129" customWidth="1"/>
    <col min="7171" max="7171" width="83.5546875" style="129" customWidth="1"/>
    <col min="7172" max="7174" width="9.109375" style="129"/>
    <col min="7175" max="7175" width="28.109375" style="129" customWidth="1"/>
    <col min="7176" max="7424" width="9.109375" style="129"/>
    <col min="7425" max="7425" width="15.6640625" style="129" customWidth="1"/>
    <col min="7426" max="7426" width="1.5546875" style="129" customWidth="1"/>
    <col min="7427" max="7427" width="83.5546875" style="129" customWidth="1"/>
    <col min="7428" max="7430" width="9.109375" style="129"/>
    <col min="7431" max="7431" width="28.109375" style="129" customWidth="1"/>
    <col min="7432" max="7680" width="9.109375" style="129"/>
    <col min="7681" max="7681" width="15.6640625" style="129" customWidth="1"/>
    <col min="7682" max="7682" width="1.5546875" style="129" customWidth="1"/>
    <col min="7683" max="7683" width="83.5546875" style="129" customWidth="1"/>
    <col min="7684" max="7686" width="9.109375" style="129"/>
    <col min="7687" max="7687" width="28.109375" style="129" customWidth="1"/>
    <col min="7688" max="7936" width="9.109375" style="129"/>
    <col min="7937" max="7937" width="15.6640625" style="129" customWidth="1"/>
    <col min="7938" max="7938" width="1.5546875" style="129" customWidth="1"/>
    <col min="7939" max="7939" width="83.5546875" style="129" customWidth="1"/>
    <col min="7940" max="7942" width="9.109375" style="129"/>
    <col min="7943" max="7943" width="28.109375" style="129" customWidth="1"/>
    <col min="7944" max="8192" width="9.109375" style="129"/>
    <col min="8193" max="8193" width="15.6640625" style="129" customWidth="1"/>
    <col min="8194" max="8194" width="1.5546875" style="129" customWidth="1"/>
    <col min="8195" max="8195" width="83.5546875" style="129" customWidth="1"/>
    <col min="8196" max="8198" width="9.109375" style="129"/>
    <col min="8199" max="8199" width="28.109375" style="129" customWidth="1"/>
    <col min="8200" max="8448" width="9.109375" style="129"/>
    <col min="8449" max="8449" width="15.6640625" style="129" customWidth="1"/>
    <col min="8450" max="8450" width="1.5546875" style="129" customWidth="1"/>
    <col min="8451" max="8451" width="83.5546875" style="129" customWidth="1"/>
    <col min="8452" max="8454" width="9.109375" style="129"/>
    <col min="8455" max="8455" width="28.109375" style="129" customWidth="1"/>
    <col min="8456" max="8704" width="9.109375" style="129"/>
    <col min="8705" max="8705" width="15.6640625" style="129" customWidth="1"/>
    <col min="8706" max="8706" width="1.5546875" style="129" customWidth="1"/>
    <col min="8707" max="8707" width="83.5546875" style="129" customWidth="1"/>
    <col min="8708" max="8710" width="9.109375" style="129"/>
    <col min="8711" max="8711" width="28.109375" style="129" customWidth="1"/>
    <col min="8712" max="8960" width="9.109375" style="129"/>
    <col min="8961" max="8961" width="15.6640625" style="129" customWidth="1"/>
    <col min="8962" max="8962" width="1.5546875" style="129" customWidth="1"/>
    <col min="8963" max="8963" width="83.5546875" style="129" customWidth="1"/>
    <col min="8964" max="8966" width="9.109375" style="129"/>
    <col min="8967" max="8967" width="28.109375" style="129" customWidth="1"/>
    <col min="8968" max="9216" width="9.109375" style="129"/>
    <col min="9217" max="9217" width="15.6640625" style="129" customWidth="1"/>
    <col min="9218" max="9218" width="1.5546875" style="129" customWidth="1"/>
    <col min="9219" max="9219" width="83.5546875" style="129" customWidth="1"/>
    <col min="9220" max="9222" width="9.109375" style="129"/>
    <col min="9223" max="9223" width="28.109375" style="129" customWidth="1"/>
    <col min="9224" max="9472" width="9.109375" style="129"/>
    <col min="9473" max="9473" width="15.6640625" style="129" customWidth="1"/>
    <col min="9474" max="9474" width="1.5546875" style="129" customWidth="1"/>
    <col min="9475" max="9475" width="83.5546875" style="129" customWidth="1"/>
    <col min="9476" max="9478" width="9.109375" style="129"/>
    <col min="9479" max="9479" width="28.109375" style="129" customWidth="1"/>
    <col min="9480" max="9728" width="9.109375" style="129"/>
    <col min="9729" max="9729" width="15.6640625" style="129" customWidth="1"/>
    <col min="9730" max="9730" width="1.5546875" style="129" customWidth="1"/>
    <col min="9731" max="9731" width="83.5546875" style="129" customWidth="1"/>
    <col min="9732" max="9734" width="9.109375" style="129"/>
    <col min="9735" max="9735" width="28.109375" style="129" customWidth="1"/>
    <col min="9736" max="9984" width="9.109375" style="129"/>
    <col min="9985" max="9985" width="15.6640625" style="129" customWidth="1"/>
    <col min="9986" max="9986" width="1.5546875" style="129" customWidth="1"/>
    <col min="9987" max="9987" width="83.5546875" style="129" customWidth="1"/>
    <col min="9988" max="9990" width="9.109375" style="129"/>
    <col min="9991" max="9991" width="28.109375" style="129" customWidth="1"/>
    <col min="9992" max="10240" width="9.109375" style="129"/>
    <col min="10241" max="10241" width="15.6640625" style="129" customWidth="1"/>
    <col min="10242" max="10242" width="1.5546875" style="129" customWidth="1"/>
    <col min="10243" max="10243" width="83.5546875" style="129" customWidth="1"/>
    <col min="10244" max="10246" width="9.109375" style="129"/>
    <col min="10247" max="10247" width="28.109375" style="129" customWidth="1"/>
    <col min="10248" max="10496" width="9.109375" style="129"/>
    <col min="10497" max="10497" width="15.6640625" style="129" customWidth="1"/>
    <col min="10498" max="10498" width="1.5546875" style="129" customWidth="1"/>
    <col min="10499" max="10499" width="83.5546875" style="129" customWidth="1"/>
    <col min="10500" max="10502" width="9.109375" style="129"/>
    <col min="10503" max="10503" width="28.109375" style="129" customWidth="1"/>
    <col min="10504" max="10752" width="9.109375" style="129"/>
    <col min="10753" max="10753" width="15.6640625" style="129" customWidth="1"/>
    <col min="10754" max="10754" width="1.5546875" style="129" customWidth="1"/>
    <col min="10755" max="10755" width="83.5546875" style="129" customWidth="1"/>
    <col min="10756" max="10758" width="9.109375" style="129"/>
    <col min="10759" max="10759" width="28.109375" style="129" customWidth="1"/>
    <col min="10760" max="11008" width="9.109375" style="129"/>
    <col min="11009" max="11009" width="15.6640625" style="129" customWidth="1"/>
    <col min="11010" max="11010" width="1.5546875" style="129" customWidth="1"/>
    <col min="11011" max="11011" width="83.5546875" style="129" customWidth="1"/>
    <col min="11012" max="11014" width="9.109375" style="129"/>
    <col min="11015" max="11015" width="28.109375" style="129" customWidth="1"/>
    <col min="11016" max="11264" width="9.109375" style="129"/>
    <col min="11265" max="11265" width="15.6640625" style="129" customWidth="1"/>
    <col min="11266" max="11266" width="1.5546875" style="129" customWidth="1"/>
    <col min="11267" max="11267" width="83.5546875" style="129" customWidth="1"/>
    <col min="11268" max="11270" width="9.109375" style="129"/>
    <col min="11271" max="11271" width="28.109375" style="129" customWidth="1"/>
    <col min="11272" max="11520" width="9.109375" style="129"/>
    <col min="11521" max="11521" width="15.6640625" style="129" customWidth="1"/>
    <col min="11522" max="11522" width="1.5546875" style="129" customWidth="1"/>
    <col min="11523" max="11523" width="83.5546875" style="129" customWidth="1"/>
    <col min="11524" max="11526" width="9.109375" style="129"/>
    <col min="11527" max="11527" width="28.109375" style="129" customWidth="1"/>
    <col min="11528" max="11776" width="9.109375" style="129"/>
    <col min="11777" max="11777" width="15.6640625" style="129" customWidth="1"/>
    <col min="11778" max="11778" width="1.5546875" style="129" customWidth="1"/>
    <col min="11779" max="11779" width="83.5546875" style="129" customWidth="1"/>
    <col min="11780" max="11782" width="9.109375" style="129"/>
    <col min="11783" max="11783" width="28.109375" style="129" customWidth="1"/>
    <col min="11784" max="12032" width="9.109375" style="129"/>
    <col min="12033" max="12033" width="15.6640625" style="129" customWidth="1"/>
    <col min="12034" max="12034" width="1.5546875" style="129" customWidth="1"/>
    <col min="12035" max="12035" width="83.5546875" style="129" customWidth="1"/>
    <col min="12036" max="12038" width="9.109375" style="129"/>
    <col min="12039" max="12039" width="28.109375" style="129" customWidth="1"/>
    <col min="12040" max="12288" width="9.109375" style="129"/>
    <col min="12289" max="12289" width="15.6640625" style="129" customWidth="1"/>
    <col min="12290" max="12290" width="1.5546875" style="129" customWidth="1"/>
    <col min="12291" max="12291" width="83.5546875" style="129" customWidth="1"/>
    <col min="12292" max="12294" width="9.109375" style="129"/>
    <col min="12295" max="12295" width="28.109375" style="129" customWidth="1"/>
    <col min="12296" max="12544" width="9.109375" style="129"/>
    <col min="12545" max="12545" width="15.6640625" style="129" customWidth="1"/>
    <col min="12546" max="12546" width="1.5546875" style="129" customWidth="1"/>
    <col min="12547" max="12547" width="83.5546875" style="129" customWidth="1"/>
    <col min="12548" max="12550" width="9.109375" style="129"/>
    <col min="12551" max="12551" width="28.109375" style="129" customWidth="1"/>
    <col min="12552" max="12800" width="9.109375" style="129"/>
    <col min="12801" max="12801" width="15.6640625" style="129" customWidth="1"/>
    <col min="12802" max="12802" width="1.5546875" style="129" customWidth="1"/>
    <col min="12803" max="12803" width="83.5546875" style="129" customWidth="1"/>
    <col min="12804" max="12806" width="9.109375" style="129"/>
    <col min="12807" max="12807" width="28.109375" style="129" customWidth="1"/>
    <col min="12808" max="13056" width="9.109375" style="129"/>
    <col min="13057" max="13057" width="15.6640625" style="129" customWidth="1"/>
    <col min="13058" max="13058" width="1.5546875" style="129" customWidth="1"/>
    <col min="13059" max="13059" width="83.5546875" style="129" customWidth="1"/>
    <col min="13060" max="13062" width="9.109375" style="129"/>
    <col min="13063" max="13063" width="28.109375" style="129" customWidth="1"/>
    <col min="13064" max="13312" width="9.109375" style="129"/>
    <col min="13313" max="13313" width="15.6640625" style="129" customWidth="1"/>
    <col min="13314" max="13314" width="1.5546875" style="129" customWidth="1"/>
    <col min="13315" max="13315" width="83.5546875" style="129" customWidth="1"/>
    <col min="13316" max="13318" width="9.109375" style="129"/>
    <col min="13319" max="13319" width="28.109375" style="129" customWidth="1"/>
    <col min="13320" max="13568" width="9.109375" style="129"/>
    <col min="13569" max="13569" width="15.6640625" style="129" customWidth="1"/>
    <col min="13570" max="13570" width="1.5546875" style="129" customWidth="1"/>
    <col min="13571" max="13571" width="83.5546875" style="129" customWidth="1"/>
    <col min="13572" max="13574" width="9.109375" style="129"/>
    <col min="13575" max="13575" width="28.109375" style="129" customWidth="1"/>
    <col min="13576" max="13824" width="9.109375" style="129"/>
    <col min="13825" max="13825" width="15.6640625" style="129" customWidth="1"/>
    <col min="13826" max="13826" width="1.5546875" style="129" customWidth="1"/>
    <col min="13827" max="13827" width="83.5546875" style="129" customWidth="1"/>
    <col min="13828" max="13830" width="9.109375" style="129"/>
    <col min="13831" max="13831" width="28.109375" style="129" customWidth="1"/>
    <col min="13832" max="14080" width="9.109375" style="129"/>
    <col min="14081" max="14081" width="15.6640625" style="129" customWidth="1"/>
    <col min="14082" max="14082" width="1.5546875" style="129" customWidth="1"/>
    <col min="14083" max="14083" width="83.5546875" style="129" customWidth="1"/>
    <col min="14084" max="14086" width="9.109375" style="129"/>
    <col min="14087" max="14087" width="28.109375" style="129" customWidth="1"/>
    <col min="14088" max="14336" width="9.109375" style="129"/>
    <col min="14337" max="14337" width="15.6640625" style="129" customWidth="1"/>
    <col min="14338" max="14338" width="1.5546875" style="129" customWidth="1"/>
    <col min="14339" max="14339" width="83.5546875" style="129" customWidth="1"/>
    <col min="14340" max="14342" width="9.109375" style="129"/>
    <col min="14343" max="14343" width="28.109375" style="129" customWidth="1"/>
    <col min="14344" max="14592" width="9.109375" style="129"/>
    <col min="14593" max="14593" width="15.6640625" style="129" customWidth="1"/>
    <col min="14594" max="14594" width="1.5546875" style="129" customWidth="1"/>
    <col min="14595" max="14595" width="83.5546875" style="129" customWidth="1"/>
    <col min="14596" max="14598" width="9.109375" style="129"/>
    <col min="14599" max="14599" width="28.109375" style="129" customWidth="1"/>
    <col min="14600" max="14848" width="9.109375" style="129"/>
    <col min="14849" max="14849" width="15.6640625" style="129" customWidth="1"/>
    <col min="14850" max="14850" width="1.5546875" style="129" customWidth="1"/>
    <col min="14851" max="14851" width="83.5546875" style="129" customWidth="1"/>
    <col min="14852" max="14854" width="9.109375" style="129"/>
    <col min="14855" max="14855" width="28.109375" style="129" customWidth="1"/>
    <col min="14856" max="15104" width="9.109375" style="129"/>
    <col min="15105" max="15105" width="15.6640625" style="129" customWidth="1"/>
    <col min="15106" max="15106" width="1.5546875" style="129" customWidth="1"/>
    <col min="15107" max="15107" width="83.5546875" style="129" customWidth="1"/>
    <col min="15108" max="15110" width="9.109375" style="129"/>
    <col min="15111" max="15111" width="28.109375" style="129" customWidth="1"/>
    <col min="15112" max="15360" width="9.109375" style="129"/>
    <col min="15361" max="15361" width="15.6640625" style="129" customWidth="1"/>
    <col min="15362" max="15362" width="1.5546875" style="129" customWidth="1"/>
    <col min="15363" max="15363" width="83.5546875" style="129" customWidth="1"/>
    <col min="15364" max="15366" width="9.109375" style="129"/>
    <col min="15367" max="15367" width="28.109375" style="129" customWidth="1"/>
    <col min="15368" max="15616" width="9.109375" style="129"/>
    <col min="15617" max="15617" width="15.6640625" style="129" customWidth="1"/>
    <col min="15618" max="15618" width="1.5546875" style="129" customWidth="1"/>
    <col min="15619" max="15619" width="83.5546875" style="129" customWidth="1"/>
    <col min="15620" max="15622" width="9.109375" style="129"/>
    <col min="15623" max="15623" width="28.109375" style="129" customWidth="1"/>
    <col min="15624" max="15872" width="9.109375" style="129"/>
    <col min="15873" max="15873" width="15.6640625" style="129" customWidth="1"/>
    <col min="15874" max="15874" width="1.5546875" style="129" customWidth="1"/>
    <col min="15875" max="15875" width="83.5546875" style="129" customWidth="1"/>
    <col min="15876" max="15878" width="9.109375" style="129"/>
    <col min="15879" max="15879" width="28.109375" style="129" customWidth="1"/>
    <col min="15880" max="16128" width="9.109375" style="129"/>
    <col min="16129" max="16129" width="15.6640625" style="129" customWidth="1"/>
    <col min="16130" max="16130" width="1.5546875" style="129" customWidth="1"/>
    <col min="16131" max="16131" width="83.5546875" style="129" customWidth="1"/>
    <col min="16132" max="16134" width="9.109375" style="129"/>
    <col min="16135" max="16135" width="28.109375" style="129" customWidth="1"/>
    <col min="16136" max="16384" width="9.109375" style="129"/>
  </cols>
  <sheetData>
    <row r="1" spans="1:8">
      <c r="A1" s="369"/>
      <c r="B1" s="369"/>
      <c r="C1" s="369"/>
    </row>
    <row r="2" spans="1:8">
      <c r="A2" s="369"/>
      <c r="B2" s="369"/>
      <c r="C2" s="369"/>
    </row>
    <row r="3" spans="1:8">
      <c r="A3" s="369"/>
      <c r="B3" s="369"/>
      <c r="C3" s="369"/>
    </row>
    <row r="4" spans="1:8">
      <c r="A4" s="369"/>
      <c r="B4" s="369"/>
      <c r="C4" s="369"/>
    </row>
    <row r="5" spans="1:8">
      <c r="A5" s="369"/>
      <c r="B5" s="369"/>
      <c r="C5" s="369"/>
    </row>
    <row r="6" spans="1:8">
      <c r="A6" s="130"/>
      <c r="B6" s="130"/>
      <c r="C6" s="130"/>
    </row>
    <row r="7" spans="1:8" ht="24.9" customHeight="1">
      <c r="A7" s="370" t="s">
        <v>36</v>
      </c>
      <c r="B7" s="370"/>
      <c r="C7" s="370"/>
    </row>
    <row r="8" spans="1:8" ht="24.9" customHeight="1">
      <c r="A8" s="370" t="s">
        <v>265</v>
      </c>
      <c r="B8" s="370"/>
      <c r="C8" s="370"/>
    </row>
    <row r="9" spans="1:8" ht="24.9" customHeight="1">
      <c r="A9" s="370" t="s">
        <v>264</v>
      </c>
      <c r="B9" s="370"/>
      <c r="C9" s="370"/>
    </row>
    <row r="10" spans="1:8">
      <c r="A10" s="131"/>
      <c r="B10" s="132"/>
      <c r="C10" s="132"/>
    </row>
    <row r="11" spans="1:8" s="134" customFormat="1" ht="23.4">
      <c r="A11" s="42"/>
      <c r="B11" s="42"/>
      <c r="C11" s="133" t="s">
        <v>103</v>
      </c>
      <c r="D11" s="42"/>
      <c r="E11" s="42"/>
      <c r="F11" s="42"/>
      <c r="G11" s="42"/>
      <c r="H11" s="42"/>
    </row>
    <row r="12" spans="1:8" s="134" customFormat="1" ht="23.4">
      <c r="A12" s="43"/>
      <c r="B12" s="43"/>
      <c r="C12" s="133" t="s">
        <v>85</v>
      </c>
      <c r="D12" s="43"/>
      <c r="E12" s="43"/>
      <c r="F12" s="43"/>
      <c r="G12" s="43"/>
      <c r="H12" s="43"/>
    </row>
    <row r="13" spans="1:8" ht="22.5" customHeight="1">
      <c r="A13" s="135" t="s">
        <v>88</v>
      </c>
      <c r="B13" s="136"/>
      <c r="C13" s="136" t="s">
        <v>89</v>
      </c>
    </row>
    <row r="14" spans="1:8" ht="24.9" customHeight="1">
      <c r="A14" s="137"/>
      <c r="B14" s="138"/>
      <c r="C14" s="139" t="s">
        <v>90</v>
      </c>
    </row>
    <row r="15" spans="1:8" ht="24.9" customHeight="1">
      <c r="A15" s="135"/>
      <c r="B15" s="138"/>
      <c r="C15" s="139" t="s">
        <v>266</v>
      </c>
    </row>
    <row r="16" spans="1:8" ht="24.9" customHeight="1">
      <c r="A16" s="135"/>
      <c r="B16" s="138"/>
      <c r="C16" s="139" t="s">
        <v>91</v>
      </c>
    </row>
    <row r="17" spans="1:8" ht="24.9" customHeight="1">
      <c r="A17" s="135"/>
      <c r="B17" s="138"/>
      <c r="C17" s="140"/>
      <c r="D17" s="43"/>
      <c r="E17" s="43"/>
      <c r="F17" s="43"/>
      <c r="G17" s="43"/>
      <c r="H17" s="43"/>
    </row>
    <row r="18" spans="1:8" ht="24.9" customHeight="1">
      <c r="A18" s="135"/>
      <c r="B18" s="138"/>
      <c r="C18" s="140"/>
      <c r="D18" s="43"/>
      <c r="E18" s="43"/>
      <c r="F18" s="43"/>
      <c r="G18" s="43"/>
      <c r="H18" s="43"/>
    </row>
    <row r="19" spans="1:8" ht="24.9" customHeight="1">
      <c r="A19" s="135"/>
      <c r="B19" s="138"/>
      <c r="C19" s="140"/>
      <c r="D19" s="44"/>
      <c r="E19" s="44"/>
      <c r="F19" s="44"/>
      <c r="G19" s="44" t="s">
        <v>73</v>
      </c>
      <c r="H19" s="44"/>
    </row>
    <row r="20" spans="1:8" ht="24.9" customHeight="1">
      <c r="A20" s="135"/>
      <c r="B20" s="138"/>
    </row>
    <row r="22" spans="1:8" ht="24.9" customHeight="1">
      <c r="A22" s="141"/>
      <c r="B22" s="139"/>
      <c r="C22" s="142" t="s">
        <v>92</v>
      </c>
    </row>
    <row r="23" spans="1:8" ht="24.9" customHeight="1">
      <c r="A23" s="141"/>
      <c r="B23" s="139"/>
      <c r="C23" s="142" t="s">
        <v>93</v>
      </c>
    </row>
    <row r="24" spans="1:8" ht="24.9" customHeight="1">
      <c r="A24" s="141"/>
      <c r="B24" s="139"/>
    </row>
    <row r="26" spans="1:8">
      <c r="C26" s="144" t="s">
        <v>94</v>
      </c>
    </row>
    <row r="27" spans="1:8">
      <c r="C27" s="139" t="s">
        <v>95</v>
      </c>
    </row>
  </sheetData>
  <mergeCells count="4">
    <mergeCell ref="A1:C5"/>
    <mergeCell ref="A7:C7"/>
    <mergeCell ref="A8:C8"/>
    <mergeCell ref="A9:C9"/>
  </mergeCells>
  <pageMargins left="0.59055118110236227" right="0.39370078740157483" top="0.59055118110236227" bottom="0.59055118110236227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7</vt:i4>
      </vt:variant>
    </vt:vector>
  </HeadingPairs>
  <TitlesOfParts>
    <vt:vector size="13" baseType="lpstr">
      <vt:lpstr>ใบรับรองแบบรูปและรายการ</vt:lpstr>
      <vt:lpstr>ปร.6</vt:lpstr>
      <vt:lpstr>ปร.5 (ก)</vt:lpstr>
      <vt:lpstr>ปร.5 (ข)</vt:lpstr>
      <vt:lpstr>ปร.4</vt:lpstr>
      <vt:lpstr>งวดงาน </vt:lpstr>
      <vt:lpstr>'งวดงาน '!Print_Area</vt:lpstr>
      <vt:lpstr>ใบรับรองแบบรูปและรายการ!Print_Area</vt:lpstr>
      <vt:lpstr>ปร.4!Print_Area</vt:lpstr>
      <vt:lpstr>'ปร.5 (ก)'!Print_Area</vt:lpstr>
      <vt:lpstr>'ปร.5 (ข)'!Print_Area</vt:lpstr>
      <vt:lpstr>ปร.6!Print_Area</vt:lpstr>
      <vt:lpstr>ปร.4!Print_Titles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</cp:lastModifiedBy>
  <cp:lastPrinted>2016-11-01T09:59:54Z</cp:lastPrinted>
  <dcterms:created xsi:type="dcterms:W3CDTF">2007-08-02T13:48:04Z</dcterms:created>
  <dcterms:modified xsi:type="dcterms:W3CDTF">2016-11-14T07:28:35Z</dcterms:modified>
</cp:coreProperties>
</file>